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showInkAnnotation="0" codeName="ThisWorkbook"/>
  <mc:AlternateContent xmlns:mc="http://schemas.openxmlformats.org/markup-compatibility/2006">
    <mc:Choice Requires="x15">
      <x15ac:absPath xmlns:x15ac="http://schemas.microsoft.com/office/spreadsheetml/2010/11/ac" url="/Users/frankgallinelli/Downloads/"/>
    </mc:Choice>
  </mc:AlternateContent>
  <xr:revisionPtr revIDLastSave="0" documentId="13_ncr:1_{04AEDCEF-424A-CA41-B2AA-2A33B9CD82D5}" xr6:coauthVersionLast="47" xr6:coauthVersionMax="47" xr10:uidLastSave="{00000000-0000-0000-0000-000000000000}"/>
  <workbookProtection workbookPassword="BAA8" lockStructure="1"/>
  <bookViews>
    <workbookView xWindow="3220" yWindow="500" windowWidth="28560" windowHeight="26480" tabRatio="800" xr2:uid="{00000000-000D-0000-FFFF-FFFF00000000}"/>
  </bookViews>
  <sheets>
    <sheet name="Welcome" sheetId="14" r:id="rId1"/>
    <sheet name="Compound Interest" sheetId="1" r:id="rId2"/>
    <sheet name="Annual Property Operating Data" sheetId="2" r:id="rId3"/>
    <sheet name="Discounted Cash Flow" sheetId="3" r:id="rId4"/>
    <sheet name="Amortization Table" sheetId="4" r:id="rId5"/>
    <sheet name="Cash Flow" sheetId="5" r:id="rId6"/>
    <sheet name="Sale Proceeds" sheetId="6" r:id="rId7"/>
    <sheet name="Value of a Lease" sheetId="7" r:id="rId8"/>
    <sheet name="4 Annuity Functions" sheetId="8" r:id="rId9"/>
    <sheet name="Net Present Value" sheetId="9" r:id="rId10"/>
    <sheet name="Taxable Income" sheetId="10" r:id="rId11"/>
    <sheet name="Adjusted Basis" sheetId="11" r:id="rId12"/>
    <sheet name="Internal Rate of Return" sheetId="12" r:id="rId13"/>
    <sheet name="MIRR" sheetId="13" r:id="rId14"/>
  </sheets>
  <definedNames>
    <definedName name="_xlnm.Print_Area" localSheetId="4">'Amortization Table'!$A$1:$E$476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2" l="1"/>
  <c r="E12" i="2" s="1"/>
  <c r="D16" i="2"/>
  <c r="D29" i="2"/>
  <c r="D46" i="2" s="1"/>
  <c r="C21" i="13"/>
  <c r="C17" i="12"/>
  <c r="C7" i="11"/>
  <c r="D15" i="11"/>
  <c r="C7" i="10"/>
  <c r="D13" i="10"/>
  <c r="D17" i="10"/>
  <c r="D28" i="10" s="1"/>
  <c r="D36" i="10" s="1"/>
  <c r="D26" i="10"/>
  <c r="C18" i="9"/>
  <c r="B10" i="8"/>
  <c r="A9" i="8"/>
  <c r="D8" i="8"/>
  <c r="C7" i="8"/>
  <c r="C8" i="7"/>
  <c r="D8" i="7"/>
  <c r="E8" i="7" s="1"/>
  <c r="F8" i="7" s="1"/>
  <c r="G8" i="7" s="1"/>
  <c r="H8" i="7" s="1"/>
  <c r="I8" i="7" s="1"/>
  <c r="J8" i="7" s="1"/>
  <c r="K8" i="7" s="1"/>
  <c r="L8" i="7" s="1"/>
  <c r="M8" i="7" s="1"/>
  <c r="N8" i="7" s="1"/>
  <c r="C9" i="7"/>
  <c r="D9" i="7"/>
  <c r="E9" i="7" s="1"/>
  <c r="F9" i="7"/>
  <c r="G9" i="7" s="1"/>
  <c r="H9" i="7" s="1"/>
  <c r="I9" i="7" s="1"/>
  <c r="J9" i="7" s="1"/>
  <c r="K9" i="7" s="1"/>
  <c r="L9" i="7" s="1"/>
  <c r="M9" i="7" s="1"/>
  <c r="N9" i="7" s="1"/>
  <c r="C10" i="7"/>
  <c r="D10" i="7"/>
  <c r="E10" i="7" s="1"/>
  <c r="F10" i="7" s="1"/>
  <c r="G10" i="7" s="1"/>
  <c r="H10" i="7" s="1"/>
  <c r="I10" i="7" s="1"/>
  <c r="J10" i="7" s="1"/>
  <c r="K10" i="7" s="1"/>
  <c r="L10" i="7" s="1"/>
  <c r="M10" i="7" s="1"/>
  <c r="N10" i="7" s="1"/>
  <c r="C11" i="7"/>
  <c r="D11" i="7"/>
  <c r="E11" i="7" s="1"/>
  <c r="F11" i="7"/>
  <c r="G11" i="7" s="1"/>
  <c r="H11" i="7" s="1"/>
  <c r="I11" i="7" s="1"/>
  <c r="J11" i="7"/>
  <c r="K11" i="7" s="1"/>
  <c r="L11" i="7" s="1"/>
  <c r="M11" i="7" s="1"/>
  <c r="N11" i="7"/>
  <c r="C12" i="7"/>
  <c r="D12" i="7"/>
  <c r="E12" i="7" s="1"/>
  <c r="F12" i="7"/>
  <c r="G12" i="7" s="1"/>
  <c r="H12" i="7" s="1"/>
  <c r="I12" i="7" s="1"/>
  <c r="J12" i="7"/>
  <c r="K12" i="7" s="1"/>
  <c r="L12" i="7" s="1"/>
  <c r="M12" i="7" s="1"/>
  <c r="N12" i="7" s="1"/>
  <c r="C7" i="6"/>
  <c r="D14" i="6"/>
  <c r="D16" i="6" s="1"/>
  <c r="C7" i="5"/>
  <c r="D13" i="5"/>
  <c r="D17" i="5"/>
  <c r="D26" i="5"/>
  <c r="D28" i="5"/>
  <c r="D36" i="5" s="1"/>
  <c r="D40" i="5" s="1"/>
  <c r="B7" i="4"/>
  <c r="A10" i="4"/>
  <c r="A25" i="4"/>
  <c r="A100" i="4"/>
  <c r="A220" i="4"/>
  <c r="A280" i="4"/>
  <c r="A340" i="4"/>
  <c r="A460" i="4"/>
  <c r="D6" i="3"/>
  <c r="D7" i="3"/>
  <c r="D8" i="3"/>
  <c r="D9" i="3"/>
  <c r="D10" i="3"/>
  <c r="D11" i="3"/>
  <c r="D12" i="3"/>
  <c r="D13" i="3"/>
  <c r="D14" i="3"/>
  <c r="D15" i="3"/>
  <c r="D16" i="3"/>
  <c r="E11" i="2"/>
  <c r="E14" i="2" s="1"/>
  <c r="E13" i="2"/>
  <c r="D7" i="1"/>
  <c r="A8" i="1"/>
  <c r="B9" i="1"/>
  <c r="C10" i="1"/>
  <c r="A40" i="4"/>
  <c r="D18" i="2" l="1"/>
  <c r="E18" i="2" s="1"/>
  <c r="A13" i="4"/>
  <c r="A55" i="4"/>
  <c r="A115" i="4"/>
  <c r="A175" i="4"/>
  <c r="A235" i="4"/>
  <c r="A295" i="4"/>
  <c r="A355" i="4"/>
  <c r="A415" i="4"/>
  <c r="A475" i="4"/>
  <c r="B13" i="4"/>
  <c r="A70" i="4"/>
  <c r="A130" i="4"/>
  <c r="A190" i="4"/>
  <c r="A250" i="4"/>
  <c r="A310" i="4"/>
  <c r="A370" i="4"/>
  <c r="A430" i="4"/>
  <c r="C13" i="4"/>
  <c r="A85" i="4"/>
  <c r="A145" i="4"/>
  <c r="A205" i="4"/>
  <c r="A265" i="4"/>
  <c r="A325" i="4"/>
  <c r="A385" i="4"/>
  <c r="A445" i="4"/>
  <c r="D13" i="4"/>
  <c r="B14" i="4" s="1"/>
  <c r="C14" i="4" s="1"/>
  <c r="D14" i="4" s="1"/>
  <c r="E14" i="7"/>
  <c r="A400" i="4"/>
  <c r="A160" i="4"/>
  <c r="E27" i="2"/>
  <c r="E37" i="2"/>
  <c r="E22" i="2"/>
  <c r="D48" i="2"/>
  <c r="E23" i="2"/>
  <c r="E31" i="2"/>
  <c r="E30" i="2"/>
  <c r="E38" i="2"/>
  <c r="E26" i="2"/>
  <c r="E28" i="2"/>
  <c r="E36" i="2"/>
  <c r="E34" i="2"/>
  <c r="E44" i="2"/>
  <c r="E25" i="2"/>
  <c r="E32" i="2"/>
  <c r="E35" i="2"/>
  <c r="E43" i="2"/>
  <c r="E21" i="2"/>
  <c r="E24" i="2" l="1"/>
  <c r="E40" i="2"/>
  <c r="E42" i="2"/>
  <c r="E41" i="2"/>
  <c r="E48" i="2"/>
  <c r="E46" i="2"/>
  <c r="E45" i="2"/>
  <c r="A15" i="4"/>
  <c r="B15" i="4"/>
  <c r="C15" i="4"/>
  <c r="D15" i="4" s="1"/>
  <c r="A14" i="4"/>
  <c r="B16" i="4" l="1"/>
  <c r="A16" i="4"/>
  <c r="C16" i="4"/>
  <c r="D16" i="4" s="1"/>
  <c r="A17" i="4" l="1"/>
  <c r="B17" i="4"/>
  <c r="C17" i="4" l="1"/>
  <c r="D17" i="4" l="1"/>
  <c r="A18" i="4" l="1"/>
  <c r="B18" i="4"/>
  <c r="C18" i="4"/>
  <c r="D18" i="4"/>
  <c r="A19" i="4" l="1"/>
  <c r="B19" i="4"/>
  <c r="C19" i="4"/>
  <c r="D19" i="4"/>
  <c r="A20" i="4" l="1"/>
  <c r="B20" i="4"/>
  <c r="C20" i="4"/>
  <c r="D20" i="4" s="1"/>
  <c r="A21" i="4" l="1"/>
  <c r="B21" i="4"/>
  <c r="C21" i="4" s="1"/>
  <c r="D21" i="4" s="1"/>
  <c r="B22" i="4" l="1"/>
  <c r="C22" i="4"/>
  <c r="D22" i="4"/>
  <c r="A22" i="4"/>
  <c r="A23" i="4" l="1"/>
  <c r="B23" i="4"/>
  <c r="C23" i="4"/>
  <c r="D23" i="4"/>
  <c r="A24" i="4" l="1"/>
  <c r="B24" i="4"/>
  <c r="B25" i="4" s="1"/>
  <c r="C24" i="4"/>
  <c r="C25" i="4" s="1"/>
  <c r="D24" i="4" l="1"/>
  <c r="A28" i="4" l="1"/>
  <c r="B28" i="4"/>
  <c r="C28" i="4" l="1"/>
  <c r="D28" i="4" l="1"/>
  <c r="A29" i="4" l="1"/>
  <c r="B29" i="4"/>
  <c r="C29" i="4" l="1"/>
  <c r="D29" i="4" l="1"/>
  <c r="A30" i="4" l="1"/>
  <c r="B30" i="4"/>
  <c r="C30" i="4" l="1"/>
  <c r="D30" i="4" l="1"/>
  <c r="A31" i="4" l="1"/>
  <c r="B31" i="4"/>
  <c r="C31" i="4" s="1"/>
  <c r="D31" i="4" l="1"/>
  <c r="A32" i="4" l="1"/>
  <c r="B32" i="4"/>
  <c r="C32" i="4" s="1"/>
  <c r="D32" i="4" l="1"/>
  <c r="A33" i="4" l="1"/>
  <c r="B33" i="4"/>
  <c r="C33" i="4" s="1"/>
  <c r="D33" i="4" s="1"/>
  <c r="A34" i="4" l="1"/>
  <c r="B34" i="4"/>
  <c r="C34" i="4" s="1"/>
  <c r="D34" i="4" s="1"/>
  <c r="A35" i="4" l="1"/>
  <c r="B35" i="4"/>
  <c r="C35" i="4" s="1"/>
  <c r="D35" i="4" s="1"/>
  <c r="A36" i="4" l="1"/>
  <c r="B36" i="4"/>
  <c r="C36" i="4" s="1"/>
  <c r="D36" i="4" s="1"/>
  <c r="A37" i="4" l="1"/>
  <c r="B37" i="4"/>
  <c r="C37" i="4" s="1"/>
  <c r="D37" i="4" s="1"/>
  <c r="A38" i="4" l="1"/>
  <c r="B38" i="4"/>
  <c r="C38" i="4" s="1"/>
  <c r="D38" i="4" s="1"/>
  <c r="A39" i="4" l="1"/>
  <c r="B39" i="4"/>
  <c r="B40" i="4" s="1"/>
  <c r="C39" i="4" l="1"/>
  <c r="C40" i="4" l="1"/>
  <c r="D39" i="4"/>
  <c r="B43" i="4" l="1"/>
  <c r="C43" i="4"/>
  <c r="A43" i="4"/>
  <c r="D43" i="4"/>
  <c r="B44" i="4" l="1"/>
  <c r="C44" i="4"/>
  <c r="A44" i="4"/>
  <c r="D44" i="4" l="1"/>
  <c r="B45" i="4" l="1"/>
  <c r="A45" i="4"/>
  <c r="D45" i="4"/>
  <c r="C45" i="4"/>
  <c r="B46" i="4" l="1"/>
  <c r="C46" i="4"/>
  <c r="D46" i="4" s="1"/>
  <c r="A46" i="4"/>
  <c r="B47" i="4" l="1"/>
  <c r="A47" i="4"/>
  <c r="C47" i="4"/>
  <c r="D47" i="4" s="1"/>
  <c r="B48" i="4" l="1"/>
  <c r="A48" i="4"/>
  <c r="C48" i="4"/>
  <c r="D48" i="4" s="1"/>
  <c r="A49" i="4" l="1"/>
  <c r="B49" i="4"/>
  <c r="C49" i="4" s="1"/>
  <c r="D49" i="4" s="1"/>
  <c r="B50" i="4" l="1"/>
  <c r="C50" i="4"/>
  <c r="A50" i="4"/>
  <c r="D50" i="4"/>
  <c r="B51" i="4" l="1"/>
  <c r="A51" i="4"/>
  <c r="C51" i="4"/>
  <c r="D51" i="4" s="1"/>
  <c r="B52" i="4" l="1"/>
  <c r="C52" i="4"/>
  <c r="D52" i="4" s="1"/>
  <c r="A52" i="4"/>
  <c r="B53" i="4" l="1"/>
  <c r="A53" i="4"/>
  <c r="C53" i="4"/>
  <c r="D53" i="4" s="1"/>
  <c r="B54" i="4" l="1"/>
  <c r="B55" i="4" s="1"/>
  <c r="A54" i="4"/>
  <c r="C54" i="4"/>
  <c r="C55" i="4" s="1"/>
  <c r="D54" i="4" l="1"/>
  <c r="B58" i="4" l="1"/>
  <c r="A58" i="4"/>
  <c r="C58" i="4" l="1"/>
  <c r="D58" i="4" l="1"/>
  <c r="A59" i="4" l="1"/>
  <c r="B59" i="4"/>
  <c r="C59" i="4" l="1"/>
  <c r="D59" i="4" l="1"/>
  <c r="A60" i="4" l="1"/>
  <c r="B60" i="4"/>
  <c r="C60" i="4" l="1"/>
  <c r="D60" i="4" l="1"/>
  <c r="A61" i="4" l="1"/>
  <c r="B61" i="4"/>
  <c r="C61" i="4" s="1"/>
  <c r="D61" i="4" l="1"/>
  <c r="C62" i="4" l="1"/>
  <c r="A62" i="4"/>
  <c r="B62" i="4"/>
  <c r="D62" i="4"/>
  <c r="A63" i="4" l="1"/>
  <c r="B63" i="4"/>
  <c r="C63" i="4" s="1"/>
  <c r="D63" i="4" s="1"/>
  <c r="A64" i="4" l="1"/>
  <c r="B64" i="4"/>
  <c r="C64" i="4" s="1"/>
  <c r="D64" i="4" s="1"/>
  <c r="B65" i="4" l="1"/>
  <c r="C65" i="4"/>
  <c r="D65" i="4" s="1"/>
  <c r="A65" i="4"/>
  <c r="A66" i="4" l="1"/>
  <c r="B66" i="4"/>
  <c r="C66" i="4" s="1"/>
  <c r="D66" i="4" s="1"/>
  <c r="A67" i="4" l="1"/>
  <c r="B67" i="4"/>
  <c r="C67" i="4" s="1"/>
  <c r="D67" i="4" s="1"/>
  <c r="A68" i="4" l="1"/>
  <c r="B68" i="4"/>
  <c r="C68" i="4" s="1"/>
  <c r="D68" i="4" s="1"/>
  <c r="A69" i="4" l="1"/>
  <c r="B69" i="4"/>
  <c r="B70" i="4" s="1"/>
  <c r="C69" i="4" l="1"/>
  <c r="C70" i="4" l="1"/>
  <c r="D69" i="4"/>
  <c r="A73" i="4" l="1"/>
  <c r="C73" i="4"/>
  <c r="B73" i="4"/>
  <c r="D73" i="4"/>
  <c r="B74" i="4" l="1"/>
  <c r="A74" i="4"/>
  <c r="C74" i="4"/>
  <c r="D74" i="4" s="1"/>
  <c r="A75" i="4" l="1"/>
  <c r="B75" i="4"/>
  <c r="C75" i="4" s="1"/>
  <c r="D75" i="4" l="1"/>
  <c r="A76" i="4" l="1"/>
  <c r="B76" i="4"/>
  <c r="C76" i="4" l="1"/>
  <c r="D76" i="4" l="1"/>
  <c r="B77" i="4" l="1"/>
  <c r="A77" i="4"/>
  <c r="C77" i="4"/>
  <c r="D77" i="4"/>
  <c r="B78" i="4" l="1"/>
  <c r="C78" i="4" s="1"/>
  <c r="D78" i="4" s="1"/>
  <c r="A78" i="4"/>
  <c r="B79" i="4" l="1"/>
  <c r="C79" i="4" s="1"/>
  <c r="D79" i="4" s="1"/>
  <c r="A79" i="4"/>
  <c r="B80" i="4" l="1"/>
  <c r="A80" i="4"/>
  <c r="C80" i="4"/>
  <c r="D80" i="4" s="1"/>
  <c r="B81" i="4" l="1"/>
  <c r="A81" i="4"/>
  <c r="C81" i="4"/>
  <c r="D81" i="4"/>
  <c r="A82" i="4" l="1"/>
  <c r="B82" i="4"/>
  <c r="C82" i="4"/>
  <c r="D82" i="4"/>
  <c r="B83" i="4" l="1"/>
  <c r="C83" i="4" s="1"/>
  <c r="D83" i="4" s="1"/>
  <c r="A83" i="4"/>
  <c r="B84" i="4" l="1"/>
  <c r="B85" i="4" s="1"/>
  <c r="A84" i="4"/>
  <c r="C84" i="4"/>
  <c r="C85" i="4" s="1"/>
  <c r="D84" i="4"/>
  <c r="A88" i="4" l="1"/>
  <c r="B88" i="4"/>
  <c r="C88" i="4" l="1"/>
  <c r="D88" i="4" l="1"/>
  <c r="A89" i="4" l="1"/>
  <c r="B89" i="4"/>
  <c r="C89" i="4" l="1"/>
  <c r="D89" i="4" l="1"/>
  <c r="A90" i="4" l="1"/>
  <c r="B90" i="4"/>
  <c r="C90" i="4" l="1"/>
  <c r="D90" i="4" l="1"/>
  <c r="A91" i="4" l="1"/>
  <c r="B91" i="4"/>
  <c r="C91" i="4"/>
  <c r="D91" i="4" l="1"/>
  <c r="B92" i="4" l="1"/>
  <c r="C92" i="4" s="1"/>
  <c r="D92" i="4" s="1"/>
  <c r="A92" i="4"/>
  <c r="A93" i="4" l="1"/>
  <c r="B93" i="4"/>
  <c r="C93" i="4" s="1"/>
  <c r="D93" i="4" s="1"/>
  <c r="B94" i="4" l="1"/>
  <c r="C94" i="4"/>
  <c r="D94" i="4" s="1"/>
  <c r="A94" i="4"/>
  <c r="A95" i="4" l="1"/>
  <c r="B95" i="4"/>
  <c r="C95" i="4" s="1"/>
  <c r="D95" i="4" s="1"/>
  <c r="B96" i="4" l="1"/>
  <c r="C96" i="4" s="1"/>
  <c r="D96" i="4" s="1"/>
  <c r="A96" i="4"/>
  <c r="A97" i="4" l="1"/>
  <c r="B97" i="4"/>
  <c r="C97" i="4" s="1"/>
  <c r="D97" i="4" s="1"/>
  <c r="A98" i="4" l="1"/>
  <c r="B98" i="4"/>
  <c r="C98" i="4" s="1"/>
  <c r="D98" i="4" s="1"/>
  <c r="A99" i="4" l="1"/>
  <c r="B99" i="4"/>
  <c r="B100" i="4" s="1"/>
  <c r="C99" i="4"/>
  <c r="C100" i="4" s="1"/>
  <c r="D99" i="4" l="1"/>
  <c r="B103" i="4" l="1"/>
  <c r="C103" i="4"/>
  <c r="A103" i="4"/>
  <c r="D103" i="4"/>
  <c r="B104" i="4" l="1"/>
  <c r="C104" i="4"/>
  <c r="D104" i="4"/>
  <c r="A104" i="4"/>
  <c r="A105" i="4" l="1"/>
  <c r="C105" i="4"/>
  <c r="D105" i="4"/>
  <c r="B105" i="4"/>
  <c r="B106" i="4" l="1"/>
  <c r="A106" i="4"/>
  <c r="C106" i="4"/>
  <c r="D106" i="4"/>
  <c r="B107" i="4" l="1"/>
  <c r="C107" i="4"/>
  <c r="D107" i="4"/>
  <c r="A107" i="4"/>
  <c r="A108" i="4" l="1"/>
  <c r="B108" i="4"/>
  <c r="C108" i="4" s="1"/>
  <c r="D108" i="4" s="1"/>
  <c r="B109" i="4" l="1"/>
  <c r="A109" i="4"/>
  <c r="C109" i="4"/>
  <c r="D109" i="4" s="1"/>
  <c r="B110" i="4" l="1"/>
  <c r="A110" i="4"/>
  <c r="C110" i="4"/>
  <c r="D110" i="4" s="1"/>
  <c r="A111" i="4" l="1"/>
  <c r="B111" i="4"/>
  <c r="C111" i="4"/>
  <c r="D111" i="4" s="1"/>
  <c r="A112" i="4" l="1"/>
  <c r="B112" i="4"/>
  <c r="C112" i="4" s="1"/>
  <c r="D112" i="4" s="1"/>
  <c r="B113" i="4" l="1"/>
  <c r="A113" i="4"/>
  <c r="C113" i="4"/>
  <c r="D113" i="4" s="1"/>
  <c r="A114" i="4" l="1"/>
  <c r="B114" i="4"/>
  <c r="B115" i="4" s="1"/>
  <c r="C114" i="4" l="1"/>
  <c r="C115" i="4" l="1"/>
  <c r="D114" i="4"/>
  <c r="A118" i="4" l="1"/>
  <c r="B118" i="4"/>
  <c r="C118" i="4" l="1"/>
  <c r="D118" i="4" l="1"/>
  <c r="B119" i="4" l="1"/>
  <c r="C119" i="4"/>
  <c r="A119" i="4"/>
  <c r="D119" i="4" l="1"/>
  <c r="A120" i="4" l="1"/>
  <c r="B120" i="4"/>
  <c r="C120" i="4" l="1"/>
  <c r="D120" i="4" l="1"/>
  <c r="B121" i="4" l="1"/>
  <c r="C121" i="4" s="1"/>
  <c r="A121" i="4"/>
  <c r="D121" i="4" l="1"/>
  <c r="A122" i="4" l="1"/>
  <c r="B122" i="4"/>
  <c r="C122" i="4"/>
  <c r="D122" i="4" s="1"/>
  <c r="A123" i="4" l="1"/>
  <c r="B123" i="4"/>
  <c r="C123" i="4" s="1"/>
  <c r="D123" i="4" s="1"/>
  <c r="A124" i="4" l="1"/>
  <c r="B124" i="4"/>
  <c r="C124" i="4" s="1"/>
  <c r="D124" i="4" s="1"/>
  <c r="C125" i="4" l="1"/>
  <c r="B125" i="4"/>
  <c r="D125" i="4"/>
  <c r="A125" i="4"/>
  <c r="A126" i="4" l="1"/>
  <c r="B126" i="4"/>
  <c r="C126" i="4" s="1"/>
  <c r="D126" i="4" s="1"/>
  <c r="A127" i="4" l="1"/>
  <c r="B127" i="4"/>
  <c r="C127" i="4" s="1"/>
  <c r="D127" i="4" s="1"/>
  <c r="B128" i="4" l="1"/>
  <c r="C128" i="4"/>
  <c r="D128" i="4" s="1"/>
  <c r="A128" i="4"/>
  <c r="B129" i="4" l="1"/>
  <c r="B130" i="4" s="1"/>
  <c r="C129" i="4"/>
  <c r="C130" i="4" s="1"/>
  <c r="A129" i="4"/>
  <c r="D129" i="4"/>
  <c r="B133" i="4" l="1"/>
  <c r="A133" i="4"/>
  <c r="C133" i="4"/>
  <c r="D133" i="4"/>
  <c r="B134" i="4" l="1"/>
  <c r="C134" i="4" s="1"/>
  <c r="A134" i="4"/>
  <c r="D134" i="4" l="1"/>
  <c r="B135" i="4" l="1"/>
  <c r="A135" i="4"/>
  <c r="C135" i="4"/>
  <c r="D135" i="4"/>
  <c r="A136" i="4" l="1"/>
  <c r="B136" i="4"/>
  <c r="C136" i="4"/>
  <c r="D136" i="4" s="1"/>
  <c r="B137" i="4" l="1"/>
  <c r="C137" i="4"/>
  <c r="D137" i="4"/>
  <c r="A137" i="4"/>
  <c r="B138" i="4" l="1"/>
  <c r="A138" i="4"/>
  <c r="C138" i="4"/>
  <c r="D138" i="4" s="1"/>
  <c r="A139" i="4" l="1"/>
  <c r="B139" i="4"/>
  <c r="C139" i="4"/>
  <c r="D139" i="4" s="1"/>
  <c r="B140" i="4" l="1"/>
  <c r="C140" i="4" s="1"/>
  <c r="D140" i="4" s="1"/>
  <c r="A140" i="4"/>
  <c r="B141" i="4" l="1"/>
  <c r="C141" i="4" s="1"/>
  <c r="D141" i="4" s="1"/>
  <c r="A141" i="4"/>
  <c r="A142" i="4" l="1"/>
  <c r="B142" i="4"/>
  <c r="C142" i="4"/>
  <c r="D142" i="4" s="1"/>
  <c r="B143" i="4" l="1"/>
  <c r="C143" i="4"/>
  <c r="D143" i="4"/>
  <c r="A143" i="4"/>
  <c r="B144" i="4" l="1"/>
  <c r="B145" i="4" s="1"/>
  <c r="A144" i="4"/>
  <c r="C144" i="4"/>
  <c r="C145" i="4" s="1"/>
  <c r="D144" i="4" l="1"/>
  <c r="B148" i="4" l="1"/>
  <c r="A148" i="4"/>
  <c r="C148" i="4"/>
  <c r="D148" i="4" l="1"/>
  <c r="A149" i="4" l="1"/>
  <c r="B149" i="4"/>
  <c r="C149" i="4"/>
  <c r="D149" i="4" l="1"/>
  <c r="A150" i="4" l="1"/>
  <c r="B150" i="4"/>
  <c r="C150" i="4"/>
  <c r="D150" i="4" l="1"/>
  <c r="A151" i="4" l="1"/>
  <c r="B151" i="4"/>
  <c r="C151" i="4"/>
  <c r="D151" i="4" s="1"/>
  <c r="A152" i="4" l="1"/>
  <c r="B152" i="4"/>
  <c r="C152" i="4"/>
  <c r="D152" i="4" s="1"/>
  <c r="A153" i="4" l="1"/>
  <c r="B153" i="4"/>
  <c r="C153" i="4"/>
  <c r="D153" i="4" s="1"/>
  <c r="A154" i="4" l="1"/>
  <c r="B154" i="4"/>
  <c r="C154" i="4"/>
  <c r="D154" i="4"/>
  <c r="A155" i="4" l="1"/>
  <c r="B155" i="4"/>
  <c r="C155" i="4"/>
  <c r="D155" i="4" s="1"/>
  <c r="A156" i="4" l="1"/>
  <c r="B156" i="4"/>
  <c r="C156" i="4"/>
  <c r="D156" i="4" s="1"/>
  <c r="A157" i="4" l="1"/>
  <c r="B157" i="4"/>
  <c r="C157" i="4" s="1"/>
  <c r="D157" i="4" s="1"/>
  <c r="A158" i="4" l="1"/>
  <c r="B158" i="4"/>
  <c r="C158" i="4" s="1"/>
  <c r="D158" i="4" s="1"/>
  <c r="A159" i="4" l="1"/>
  <c r="B159" i="4"/>
  <c r="B160" i="4" s="1"/>
  <c r="C159" i="4" l="1"/>
  <c r="C160" i="4" l="1"/>
  <c r="D159" i="4"/>
  <c r="B163" i="4" l="1"/>
  <c r="A163" i="4"/>
  <c r="C163" i="4" l="1"/>
  <c r="D163" i="4" l="1"/>
  <c r="A164" i="4" l="1"/>
  <c r="B164" i="4"/>
  <c r="C164" i="4" l="1"/>
  <c r="D164" i="4" l="1"/>
  <c r="A165" i="4" l="1"/>
  <c r="B165" i="4"/>
  <c r="C165" i="4" s="1"/>
  <c r="D165" i="4" l="1"/>
  <c r="A166" i="4" l="1"/>
  <c r="B166" i="4"/>
  <c r="C166" i="4" s="1"/>
  <c r="D166" i="4" l="1"/>
  <c r="B167" i="4" l="1"/>
  <c r="C167" i="4" s="1"/>
  <c r="A167" i="4"/>
  <c r="D167" i="4" l="1"/>
  <c r="B168" i="4" l="1"/>
  <c r="C168" i="4"/>
  <c r="D168" i="4" s="1"/>
  <c r="A168" i="4"/>
  <c r="B169" i="4" l="1"/>
  <c r="C169" i="4" s="1"/>
  <c r="D169" i="4" s="1"/>
  <c r="A169" i="4"/>
  <c r="C170" i="4" l="1"/>
  <c r="D170" i="4" s="1"/>
  <c r="A170" i="4"/>
  <c r="B170" i="4"/>
  <c r="B171" i="4" l="1"/>
  <c r="C171" i="4" s="1"/>
  <c r="D171" i="4" s="1"/>
  <c r="A171" i="4"/>
  <c r="A172" i="4" l="1"/>
  <c r="B172" i="4"/>
  <c r="C172" i="4" s="1"/>
  <c r="D172" i="4" s="1"/>
  <c r="B173" i="4" l="1"/>
  <c r="C173" i="4" s="1"/>
  <c r="D173" i="4" s="1"/>
  <c r="A173" i="4"/>
  <c r="A174" i="4" l="1"/>
  <c r="C174" i="4"/>
  <c r="C175" i="4" s="1"/>
  <c r="B174" i="4"/>
  <c r="B175" i="4" s="1"/>
  <c r="D174" i="4" l="1"/>
  <c r="A178" i="4" l="1"/>
  <c r="B178" i="4"/>
  <c r="C178" i="4"/>
  <c r="D178" i="4" l="1"/>
  <c r="A179" i="4" l="1"/>
  <c r="B179" i="4"/>
  <c r="C179" i="4"/>
  <c r="D179" i="4"/>
  <c r="A180" i="4" l="1"/>
  <c r="B180" i="4"/>
  <c r="C180" i="4"/>
  <c r="D180" i="4" l="1"/>
  <c r="A181" i="4" l="1"/>
  <c r="B181" i="4"/>
  <c r="C181" i="4" s="1"/>
  <c r="D181" i="4" s="1"/>
  <c r="A182" i="4" l="1"/>
  <c r="B182" i="4"/>
  <c r="C182" i="4" s="1"/>
  <c r="D182" i="4" s="1"/>
  <c r="A183" i="4" l="1"/>
  <c r="B183" i="4"/>
  <c r="C183" i="4" s="1"/>
  <c r="D183" i="4" s="1"/>
  <c r="A184" i="4" l="1"/>
  <c r="B184" i="4"/>
  <c r="C184" i="4" s="1"/>
  <c r="D184" i="4" s="1"/>
  <c r="B185" i="4" l="1"/>
  <c r="C185" i="4" s="1"/>
  <c r="D185" i="4" s="1"/>
  <c r="A185" i="4"/>
  <c r="A186" i="4" l="1"/>
  <c r="B186" i="4"/>
  <c r="C186" i="4" s="1"/>
  <c r="D186" i="4" s="1"/>
  <c r="A187" i="4" l="1"/>
  <c r="B187" i="4"/>
  <c r="C187" i="4" s="1"/>
  <c r="D187" i="4" s="1"/>
  <c r="A188" i="4" l="1"/>
  <c r="B188" i="4"/>
  <c r="C188" i="4"/>
  <c r="D188" i="4" s="1"/>
  <c r="A189" i="4" l="1"/>
  <c r="B189" i="4"/>
  <c r="B190" i="4" s="1"/>
  <c r="C189" i="4" l="1"/>
  <c r="C190" i="4" l="1"/>
  <c r="D189" i="4"/>
  <c r="B193" i="4" l="1"/>
  <c r="A193" i="4"/>
  <c r="C193" i="4"/>
  <c r="D193" i="4"/>
  <c r="A194" i="4" l="1"/>
  <c r="B194" i="4"/>
  <c r="C194" i="4"/>
  <c r="D194" i="4" l="1"/>
  <c r="A195" i="4" l="1"/>
  <c r="B195" i="4"/>
  <c r="C195" i="4"/>
  <c r="D195" i="4"/>
  <c r="A196" i="4" l="1"/>
  <c r="B196" i="4"/>
  <c r="C196" i="4" s="1"/>
  <c r="D196" i="4" s="1"/>
  <c r="B197" i="4" l="1"/>
  <c r="C197" i="4" s="1"/>
  <c r="D197" i="4" s="1"/>
  <c r="A197" i="4"/>
  <c r="A198" i="4" l="1"/>
  <c r="B198" i="4"/>
  <c r="C198" i="4" s="1"/>
  <c r="D198" i="4" s="1"/>
  <c r="A199" i="4" l="1"/>
  <c r="B199" i="4"/>
  <c r="C199" i="4"/>
  <c r="D199" i="4"/>
  <c r="A200" i="4" l="1"/>
  <c r="B200" i="4"/>
  <c r="C200" i="4"/>
  <c r="D200" i="4"/>
  <c r="A201" i="4" l="1"/>
  <c r="B201" i="4"/>
  <c r="C201" i="4"/>
  <c r="D201" i="4"/>
  <c r="A202" i="4" l="1"/>
  <c r="B202" i="4"/>
  <c r="C202" i="4" s="1"/>
  <c r="D202" i="4" s="1"/>
  <c r="A203" i="4" l="1"/>
  <c r="B203" i="4"/>
  <c r="C203" i="4"/>
  <c r="D203" i="4"/>
  <c r="A204" i="4" l="1"/>
  <c r="B204" i="4"/>
  <c r="B205" i="4" s="1"/>
  <c r="C204" i="4"/>
  <c r="C205" i="4" s="1"/>
  <c r="D204" i="4" l="1"/>
  <c r="A208" i="4" l="1"/>
  <c r="B208" i="4"/>
  <c r="C208" i="4" l="1"/>
  <c r="D208" i="4" l="1"/>
  <c r="B209" i="4" l="1"/>
  <c r="A209" i="4"/>
  <c r="C209" i="4" l="1"/>
  <c r="D209" i="4" l="1"/>
  <c r="B210" i="4" l="1"/>
  <c r="A210" i="4"/>
  <c r="C210" i="4" l="1"/>
  <c r="D210" i="4" l="1"/>
  <c r="A211" i="4" l="1"/>
  <c r="B211" i="4"/>
  <c r="C211" i="4" s="1"/>
  <c r="D211" i="4" l="1"/>
  <c r="A212" i="4" l="1"/>
  <c r="B212" i="4"/>
  <c r="C212" i="4"/>
  <c r="D212" i="4" s="1"/>
  <c r="A213" i="4" l="1"/>
  <c r="B213" i="4"/>
  <c r="C213" i="4" s="1"/>
  <c r="D213" i="4" s="1"/>
  <c r="A214" i="4" l="1"/>
  <c r="B214" i="4"/>
  <c r="C214" i="4" s="1"/>
  <c r="D214" i="4" s="1"/>
  <c r="A215" i="4" l="1"/>
  <c r="B215" i="4"/>
  <c r="C215" i="4"/>
  <c r="D215" i="4" s="1"/>
  <c r="A216" i="4" l="1"/>
  <c r="B216" i="4"/>
  <c r="C216" i="4" s="1"/>
  <c r="D216" i="4" s="1"/>
  <c r="D217" i="4" l="1"/>
  <c r="A217" i="4"/>
  <c r="B217" i="4"/>
  <c r="C217" i="4"/>
  <c r="A218" i="4" l="1"/>
  <c r="B218" i="4"/>
  <c r="C218" i="4"/>
  <c r="D218" i="4" s="1"/>
  <c r="A219" i="4" l="1"/>
  <c r="B219" i="4"/>
  <c r="B220" i="4" s="1"/>
  <c r="C219" i="4" l="1"/>
  <c r="C220" i="4" l="1"/>
  <c r="D219" i="4"/>
  <c r="A223" i="4" l="1"/>
  <c r="B223" i="4"/>
  <c r="C223" i="4"/>
  <c r="D223" i="4"/>
  <c r="A224" i="4" l="1"/>
  <c r="B224" i="4"/>
  <c r="C224" i="4" s="1"/>
  <c r="D224" i="4" l="1"/>
  <c r="A225" i="4" l="1"/>
  <c r="B225" i="4"/>
  <c r="C225" i="4"/>
  <c r="D225" i="4"/>
  <c r="A226" i="4" l="1"/>
  <c r="B226" i="4"/>
  <c r="C226" i="4"/>
  <c r="D226" i="4"/>
  <c r="A227" i="4" l="1"/>
  <c r="B227" i="4"/>
  <c r="C227" i="4"/>
  <c r="D227" i="4"/>
  <c r="A228" i="4" l="1"/>
  <c r="B228" i="4"/>
  <c r="C228" i="4"/>
  <c r="D228" i="4" s="1"/>
  <c r="A229" i="4" l="1"/>
  <c r="B229" i="4"/>
  <c r="C229" i="4"/>
  <c r="D229" i="4"/>
  <c r="B230" i="4" l="1"/>
  <c r="C230" i="4"/>
  <c r="D230" i="4"/>
  <c r="A230" i="4"/>
  <c r="A231" i="4" l="1"/>
  <c r="B231" i="4"/>
  <c r="C231" i="4"/>
  <c r="D231" i="4" s="1"/>
  <c r="B232" i="4" l="1"/>
  <c r="C232" i="4"/>
  <c r="D232" i="4"/>
  <c r="A232" i="4"/>
  <c r="A233" i="4" l="1"/>
  <c r="B233" i="4"/>
  <c r="C233" i="4" s="1"/>
  <c r="D233" i="4" s="1"/>
  <c r="A234" i="4" l="1"/>
  <c r="B234" i="4"/>
  <c r="B235" i="4" s="1"/>
  <c r="C234" i="4"/>
  <c r="C235" i="4" s="1"/>
  <c r="D234" i="4" l="1"/>
  <c r="A238" i="4" l="1"/>
  <c r="B238" i="4"/>
  <c r="C238" i="4" l="1"/>
  <c r="D238" i="4" l="1"/>
  <c r="A239" i="4" l="1"/>
  <c r="B239" i="4"/>
  <c r="C239" i="4" s="1"/>
  <c r="D239" i="4" l="1"/>
  <c r="A240" i="4" l="1"/>
  <c r="B240" i="4"/>
  <c r="C240" i="4" l="1"/>
  <c r="D240" i="4" l="1"/>
  <c r="A241" i="4" l="1"/>
  <c r="B241" i="4"/>
  <c r="C241" i="4" s="1"/>
  <c r="D241" i="4" l="1"/>
  <c r="A242" i="4" l="1"/>
  <c r="B242" i="4"/>
  <c r="C242" i="4" s="1"/>
  <c r="D242" i="4" l="1"/>
  <c r="A243" i="4" l="1"/>
  <c r="B243" i="4"/>
  <c r="C243" i="4" s="1"/>
  <c r="D243" i="4" s="1"/>
  <c r="B244" i="4" l="1"/>
  <c r="C244" i="4" s="1"/>
  <c r="D244" i="4" s="1"/>
  <c r="A244" i="4"/>
  <c r="A245" i="4" l="1"/>
  <c r="B245" i="4"/>
  <c r="C245" i="4"/>
  <c r="D245" i="4" s="1"/>
  <c r="A246" i="4" l="1"/>
  <c r="B246" i="4"/>
  <c r="C246" i="4" s="1"/>
  <c r="D246" i="4" s="1"/>
  <c r="A247" i="4" l="1"/>
  <c r="B247" i="4"/>
  <c r="C247" i="4" s="1"/>
  <c r="D247" i="4" s="1"/>
  <c r="A248" i="4" l="1"/>
  <c r="C248" i="4"/>
  <c r="D248" i="4" s="1"/>
  <c r="B248" i="4"/>
  <c r="A249" i="4" l="1"/>
  <c r="B249" i="4"/>
  <c r="B250" i="4" s="1"/>
  <c r="C249" i="4" l="1"/>
  <c r="C250" i="4" l="1"/>
  <c r="D249" i="4"/>
  <c r="B253" i="4" l="1"/>
  <c r="C253" i="4" s="1"/>
  <c r="A253" i="4"/>
  <c r="D253" i="4" l="1"/>
  <c r="B254" i="4" l="1"/>
  <c r="A254" i="4"/>
  <c r="C254" i="4"/>
  <c r="D254" i="4" l="1"/>
  <c r="A255" i="4" l="1"/>
  <c r="B255" i="4"/>
  <c r="C255" i="4"/>
  <c r="D255" i="4" s="1"/>
  <c r="B256" i="4" l="1"/>
  <c r="C256" i="4"/>
  <c r="D256" i="4" s="1"/>
  <c r="A256" i="4"/>
  <c r="A257" i="4" l="1"/>
  <c r="B257" i="4"/>
  <c r="C257" i="4"/>
  <c r="D257" i="4" s="1"/>
  <c r="A258" i="4" l="1"/>
  <c r="B258" i="4"/>
  <c r="C258" i="4"/>
  <c r="D258" i="4" s="1"/>
  <c r="A259" i="4" l="1"/>
  <c r="B259" i="4"/>
  <c r="C259" i="4"/>
  <c r="D259" i="4"/>
  <c r="B260" i="4" l="1"/>
  <c r="C260" i="4"/>
  <c r="A260" i="4"/>
  <c r="D260" i="4"/>
  <c r="B261" i="4" l="1"/>
  <c r="C261" i="4"/>
  <c r="D261" i="4"/>
  <c r="A261" i="4"/>
  <c r="A262" i="4" l="1"/>
  <c r="B262" i="4"/>
  <c r="C262" i="4" s="1"/>
  <c r="D262" i="4" s="1"/>
  <c r="B263" i="4" l="1"/>
  <c r="C263" i="4"/>
  <c r="D263" i="4"/>
  <c r="A263" i="4"/>
  <c r="B264" i="4" l="1"/>
  <c r="B265" i="4" s="1"/>
  <c r="A264" i="4"/>
  <c r="C264" i="4" l="1"/>
  <c r="C265" i="4" l="1"/>
  <c r="D264" i="4"/>
  <c r="A268" i="4" l="1"/>
  <c r="B268" i="4"/>
  <c r="C268" i="4" l="1"/>
  <c r="D268" i="4" l="1"/>
  <c r="A269" i="4" l="1"/>
  <c r="B269" i="4"/>
  <c r="C269" i="4" l="1"/>
  <c r="D269" i="4" l="1"/>
  <c r="B270" i="4" l="1"/>
  <c r="A270" i="4"/>
  <c r="C270" i="4" l="1"/>
  <c r="D270" i="4" l="1"/>
  <c r="A271" i="4" l="1"/>
  <c r="B271" i="4"/>
  <c r="C271" i="4" s="1"/>
  <c r="D271" i="4" l="1"/>
  <c r="A272" i="4" l="1"/>
  <c r="B272" i="4"/>
  <c r="C272" i="4" s="1"/>
  <c r="D272" i="4" l="1"/>
  <c r="B273" i="4" l="1"/>
  <c r="C273" i="4" s="1"/>
  <c r="D273" i="4" s="1"/>
  <c r="A273" i="4"/>
  <c r="A274" i="4" l="1"/>
  <c r="B274" i="4"/>
  <c r="C274" i="4" s="1"/>
  <c r="D274" i="4" s="1"/>
  <c r="B275" i="4" l="1"/>
  <c r="A275" i="4"/>
  <c r="C275" i="4"/>
  <c r="D275" i="4" s="1"/>
  <c r="A276" i="4" l="1"/>
  <c r="B276" i="4"/>
  <c r="C276" i="4" s="1"/>
  <c r="D276" i="4" s="1"/>
  <c r="B277" i="4" l="1"/>
  <c r="C277" i="4" s="1"/>
  <c r="D277" i="4" s="1"/>
  <c r="A277" i="4"/>
  <c r="A278" i="4" l="1"/>
  <c r="B278" i="4"/>
  <c r="C278" i="4" s="1"/>
  <c r="D278" i="4" s="1"/>
  <c r="A279" i="4" l="1"/>
  <c r="C279" i="4"/>
  <c r="C280" i="4" s="1"/>
  <c r="B279" i="4"/>
  <c r="B280" i="4" s="1"/>
  <c r="D279" i="4" l="1"/>
  <c r="A283" i="4" l="1"/>
  <c r="C283" i="4"/>
  <c r="B283" i="4"/>
  <c r="D283" i="4" l="1"/>
  <c r="B284" i="4" l="1"/>
  <c r="C284" i="4"/>
  <c r="A284" i="4"/>
  <c r="D284" i="4"/>
  <c r="B285" i="4" l="1"/>
  <c r="C285" i="4"/>
  <c r="D285" i="4"/>
  <c r="A285" i="4"/>
  <c r="B286" i="4" l="1"/>
  <c r="A286" i="4"/>
  <c r="C286" i="4" l="1"/>
  <c r="D286" i="4" s="1"/>
  <c r="B287" i="4" l="1"/>
  <c r="A287" i="4"/>
  <c r="C287" i="4"/>
  <c r="D287" i="4"/>
  <c r="B288" i="4" l="1"/>
  <c r="C288" i="4"/>
  <c r="A288" i="4"/>
  <c r="D288" i="4"/>
  <c r="B289" i="4" l="1"/>
  <c r="C289" i="4"/>
  <c r="D289" i="4"/>
  <c r="A289" i="4"/>
  <c r="B290" i="4" l="1"/>
  <c r="A290" i="4"/>
  <c r="C290" i="4"/>
  <c r="D290" i="4" s="1"/>
  <c r="B291" i="4" l="1"/>
  <c r="A291" i="4"/>
  <c r="C291" i="4"/>
  <c r="D291" i="4" s="1"/>
  <c r="A292" i="4" l="1"/>
  <c r="B292" i="4"/>
  <c r="C292" i="4" s="1"/>
  <c r="D292" i="4" s="1"/>
  <c r="B293" i="4" l="1"/>
  <c r="C293" i="4" s="1"/>
  <c r="D293" i="4" s="1"/>
  <c r="A293" i="4"/>
  <c r="B294" i="4" l="1"/>
  <c r="B295" i="4" s="1"/>
  <c r="A294" i="4"/>
  <c r="C294" i="4"/>
  <c r="C295" i="4" s="1"/>
  <c r="D294" i="4" l="1"/>
  <c r="B298" i="4" l="1"/>
  <c r="A298" i="4"/>
  <c r="C298" i="4" l="1"/>
  <c r="D298" i="4" l="1"/>
  <c r="B299" i="4" l="1"/>
  <c r="A299" i="4"/>
  <c r="C299" i="4" l="1"/>
  <c r="D299" i="4" l="1"/>
  <c r="A300" i="4" l="1"/>
  <c r="B300" i="4"/>
  <c r="C300" i="4" l="1"/>
  <c r="D300" i="4" l="1"/>
  <c r="A301" i="4" l="1"/>
  <c r="B301" i="4"/>
  <c r="C301" i="4" s="1"/>
  <c r="D301" i="4" l="1"/>
  <c r="B302" i="4" l="1"/>
  <c r="C302" i="4" s="1"/>
  <c r="A302" i="4"/>
  <c r="D302" i="4" l="1"/>
  <c r="A303" i="4" l="1"/>
  <c r="B303" i="4"/>
  <c r="C303" i="4" s="1"/>
  <c r="D303" i="4" s="1"/>
  <c r="A304" i="4" l="1"/>
  <c r="B304" i="4"/>
  <c r="C304" i="4" s="1"/>
  <c r="D304" i="4" s="1"/>
  <c r="A305" i="4" l="1"/>
  <c r="B305" i="4"/>
  <c r="C305" i="4" s="1"/>
  <c r="D305" i="4" s="1"/>
  <c r="B306" i="4" l="1"/>
  <c r="C306" i="4" s="1"/>
  <c r="D306" i="4" s="1"/>
  <c r="A306" i="4"/>
  <c r="B307" i="4" l="1"/>
  <c r="C307" i="4" s="1"/>
  <c r="D307" i="4" s="1"/>
  <c r="A307" i="4"/>
  <c r="A308" i="4" l="1"/>
  <c r="B308" i="4"/>
  <c r="C308" i="4" s="1"/>
  <c r="D308" i="4" s="1"/>
  <c r="A309" i="4" l="1"/>
  <c r="B309" i="4"/>
  <c r="B310" i="4" s="1"/>
  <c r="C309" i="4" l="1"/>
  <c r="C310" i="4" l="1"/>
  <c r="D309" i="4"/>
  <c r="A313" i="4" l="1"/>
  <c r="B313" i="4"/>
  <c r="C313" i="4"/>
  <c r="D313" i="4" l="1"/>
  <c r="B314" i="4" l="1"/>
  <c r="C314" i="4"/>
  <c r="D314" i="4"/>
  <c r="A314" i="4"/>
  <c r="B315" i="4" l="1"/>
  <c r="C315" i="4" s="1"/>
  <c r="A315" i="4"/>
  <c r="D315" i="4" l="1"/>
  <c r="A316" i="4" l="1"/>
  <c r="B316" i="4"/>
  <c r="C316" i="4"/>
  <c r="D316" i="4" s="1"/>
  <c r="B317" i="4" l="1"/>
  <c r="C317" i="4"/>
  <c r="A317" i="4"/>
  <c r="D317" i="4"/>
  <c r="B318" i="4" l="1"/>
  <c r="C318" i="4"/>
  <c r="D318" i="4" s="1"/>
  <c r="A318" i="4"/>
  <c r="A319" i="4" l="1"/>
  <c r="B319" i="4"/>
  <c r="C319" i="4" s="1"/>
  <c r="D319" i="4" s="1"/>
  <c r="B320" i="4" l="1"/>
  <c r="A320" i="4"/>
  <c r="C320" i="4"/>
  <c r="D320" i="4" s="1"/>
  <c r="B321" i="4" l="1"/>
  <c r="C321" i="4"/>
  <c r="D321" i="4" s="1"/>
  <c r="A321" i="4"/>
  <c r="A322" i="4" l="1"/>
  <c r="B322" i="4"/>
  <c r="C322" i="4"/>
  <c r="D322" i="4" s="1"/>
  <c r="B323" i="4" l="1"/>
  <c r="A323" i="4"/>
  <c r="C323" i="4"/>
  <c r="D323" i="4" s="1"/>
  <c r="B324" i="4" l="1"/>
  <c r="B325" i="4" s="1"/>
  <c r="C324" i="4"/>
  <c r="C325" i="4" s="1"/>
  <c r="A324" i="4"/>
  <c r="D324" i="4" l="1"/>
  <c r="B328" i="4" l="1"/>
  <c r="A328" i="4"/>
  <c r="C328" i="4" l="1"/>
  <c r="D328" i="4" l="1"/>
  <c r="B329" i="4" l="1"/>
  <c r="A329" i="4"/>
  <c r="C329" i="4" l="1"/>
  <c r="D329" i="4" l="1"/>
  <c r="A330" i="4" l="1"/>
  <c r="B330" i="4"/>
  <c r="C330" i="4" l="1"/>
  <c r="D330" i="4" l="1"/>
  <c r="B331" i="4" l="1"/>
  <c r="C331" i="4" s="1"/>
  <c r="A331" i="4"/>
  <c r="D331" i="4" l="1"/>
  <c r="A332" i="4" l="1"/>
  <c r="B332" i="4"/>
  <c r="C332" i="4" s="1"/>
  <c r="D332" i="4" l="1"/>
  <c r="A333" i="4" l="1"/>
  <c r="B333" i="4"/>
  <c r="C333" i="4" s="1"/>
  <c r="D333" i="4" s="1"/>
  <c r="A334" i="4" l="1"/>
  <c r="B334" i="4"/>
  <c r="C334" i="4" s="1"/>
  <c r="D334" i="4" s="1"/>
  <c r="B335" i="4" l="1"/>
  <c r="C335" i="4" s="1"/>
  <c r="D335" i="4" s="1"/>
  <c r="A335" i="4"/>
  <c r="B336" i="4" l="1"/>
  <c r="C336" i="4" s="1"/>
  <c r="D336" i="4" s="1"/>
  <c r="A336" i="4"/>
  <c r="A337" i="4" l="1"/>
  <c r="B337" i="4"/>
  <c r="C337" i="4" s="1"/>
  <c r="D337" i="4" s="1"/>
  <c r="B338" i="4" l="1"/>
  <c r="C338" i="4"/>
  <c r="D338" i="4" s="1"/>
  <c r="A338" i="4"/>
  <c r="B339" i="4" l="1"/>
  <c r="B340" i="4" s="1"/>
  <c r="C339" i="4"/>
  <c r="C340" i="4" s="1"/>
  <c r="A339" i="4"/>
  <c r="D339" i="4"/>
  <c r="B343" i="4" l="1"/>
  <c r="C343" i="4"/>
  <c r="A343" i="4"/>
  <c r="D343" i="4"/>
  <c r="B344" i="4" l="1"/>
  <c r="A344" i="4"/>
  <c r="C344" i="4"/>
  <c r="D344" i="4" l="1"/>
  <c r="B345" i="4" l="1"/>
  <c r="C345" i="4"/>
  <c r="A345" i="4"/>
  <c r="D345" i="4" l="1"/>
  <c r="A346" i="4" l="1"/>
  <c r="B346" i="4"/>
  <c r="C346" i="4"/>
  <c r="D346" i="4" s="1"/>
  <c r="B347" i="4" l="1"/>
  <c r="C347" i="4"/>
  <c r="D347" i="4" s="1"/>
  <c r="A347" i="4"/>
  <c r="B348" i="4" l="1"/>
  <c r="A348" i="4"/>
  <c r="C348" i="4"/>
  <c r="D348" i="4" s="1"/>
  <c r="A349" i="4" l="1"/>
  <c r="B349" i="4"/>
  <c r="C349" i="4" s="1"/>
  <c r="D349" i="4" s="1"/>
  <c r="A350" i="4" l="1"/>
  <c r="B350" i="4"/>
  <c r="C350" i="4" s="1"/>
  <c r="D350" i="4" s="1"/>
  <c r="A351" i="4" l="1"/>
  <c r="B351" i="4"/>
  <c r="C351" i="4" s="1"/>
  <c r="D351" i="4" s="1"/>
  <c r="A352" i="4" l="1"/>
  <c r="B352" i="4"/>
  <c r="C352" i="4"/>
  <c r="D352" i="4" s="1"/>
  <c r="A353" i="4" l="1"/>
  <c r="B353" i="4"/>
  <c r="C353" i="4" s="1"/>
  <c r="D353" i="4" s="1"/>
  <c r="A354" i="4" l="1"/>
  <c r="C354" i="4"/>
  <c r="C355" i="4" s="1"/>
  <c r="B354" i="4"/>
  <c r="B355" i="4" s="1"/>
  <c r="D354" i="4" l="1"/>
  <c r="A358" i="4" l="1"/>
  <c r="B358" i="4"/>
  <c r="C358" i="4" s="1"/>
  <c r="D358" i="4" l="1"/>
  <c r="A359" i="4" l="1"/>
  <c r="B359" i="4"/>
  <c r="C359" i="4"/>
  <c r="D359" i="4" l="1"/>
  <c r="A360" i="4" l="1"/>
  <c r="B360" i="4"/>
  <c r="C360" i="4"/>
  <c r="D360" i="4"/>
  <c r="A361" i="4" l="1"/>
  <c r="B361" i="4"/>
  <c r="C361" i="4" s="1"/>
  <c r="D361" i="4" s="1"/>
  <c r="A362" i="4" l="1"/>
  <c r="B362" i="4"/>
  <c r="C362" i="4"/>
  <c r="D362" i="4" s="1"/>
  <c r="A363" i="4" l="1"/>
  <c r="B363" i="4"/>
  <c r="C363" i="4"/>
  <c r="D363" i="4" s="1"/>
  <c r="A364" i="4" l="1"/>
  <c r="B364" i="4"/>
  <c r="C364" i="4"/>
  <c r="D364" i="4" s="1"/>
  <c r="A365" i="4" l="1"/>
  <c r="B365" i="4"/>
  <c r="C365" i="4"/>
  <c r="D365" i="4" s="1"/>
  <c r="A366" i="4" l="1"/>
  <c r="B366" i="4"/>
  <c r="C366" i="4" s="1"/>
  <c r="D366" i="4" s="1"/>
  <c r="A367" i="4" l="1"/>
  <c r="B367" i="4"/>
  <c r="C367" i="4"/>
  <c r="D367" i="4" s="1"/>
  <c r="A368" i="4" l="1"/>
  <c r="B368" i="4"/>
  <c r="C368" i="4"/>
  <c r="D368" i="4"/>
  <c r="A369" i="4" l="1"/>
  <c r="B369" i="4"/>
  <c r="B370" i="4" s="1"/>
  <c r="C369" i="4"/>
  <c r="C370" i="4" s="1"/>
  <c r="D369" i="4" l="1"/>
  <c r="B373" i="4" l="1"/>
  <c r="A373" i="4"/>
  <c r="C373" i="4" l="1"/>
  <c r="D373" i="4" l="1"/>
  <c r="A374" i="4" l="1"/>
  <c r="C374" i="4"/>
  <c r="B374" i="4"/>
  <c r="D374" i="4" l="1"/>
  <c r="A375" i="4" l="1"/>
  <c r="B375" i="4"/>
  <c r="C375" i="4" s="1"/>
  <c r="D375" i="4" l="1"/>
  <c r="B376" i="4" l="1"/>
  <c r="C376" i="4" s="1"/>
  <c r="A376" i="4"/>
  <c r="D376" i="4" l="1"/>
  <c r="A377" i="4" l="1"/>
  <c r="C377" i="4"/>
  <c r="D377" i="4" s="1"/>
  <c r="B377" i="4"/>
  <c r="A378" i="4" l="1"/>
  <c r="B378" i="4"/>
  <c r="C378" i="4" s="1"/>
  <c r="D378" i="4" s="1"/>
  <c r="B379" i="4" l="1"/>
  <c r="C379" i="4" s="1"/>
  <c r="D379" i="4" s="1"/>
  <c r="A379" i="4"/>
  <c r="A380" i="4" l="1"/>
  <c r="C380" i="4"/>
  <c r="D380" i="4" s="1"/>
  <c r="B380" i="4"/>
  <c r="A381" i="4" l="1"/>
  <c r="B381" i="4"/>
  <c r="C381" i="4"/>
  <c r="D381" i="4" s="1"/>
  <c r="B382" i="4" l="1"/>
  <c r="C382" i="4" s="1"/>
  <c r="D382" i="4" s="1"/>
  <c r="A382" i="4"/>
  <c r="A383" i="4" l="1"/>
  <c r="B383" i="4"/>
  <c r="C383" i="4"/>
  <c r="D383" i="4" s="1"/>
  <c r="A384" i="4" l="1"/>
  <c r="B384" i="4"/>
  <c r="B385" i="4" s="1"/>
  <c r="C384" i="4" l="1"/>
  <c r="C385" i="4" l="1"/>
  <c r="D384" i="4"/>
  <c r="A388" i="4" l="1"/>
  <c r="B388" i="4"/>
  <c r="C388" i="4"/>
  <c r="D388" i="4" l="1"/>
  <c r="B389" i="4" l="1"/>
  <c r="A389" i="4"/>
  <c r="C389" i="4"/>
  <c r="D389" i="4"/>
  <c r="A390" i="4" l="1"/>
  <c r="B390" i="4"/>
  <c r="C390" i="4"/>
  <c r="D390" i="4" l="1"/>
  <c r="A391" i="4" l="1"/>
  <c r="B391" i="4"/>
  <c r="C391" i="4"/>
  <c r="D391" i="4" s="1"/>
  <c r="B392" i="4" l="1"/>
  <c r="C392" i="4"/>
  <c r="D392" i="4" s="1"/>
  <c r="A392" i="4"/>
  <c r="A393" i="4" l="1"/>
  <c r="B393" i="4"/>
  <c r="C393" i="4" s="1"/>
  <c r="D393" i="4" s="1"/>
  <c r="A394" i="4" l="1"/>
  <c r="B394" i="4"/>
  <c r="D394" i="4"/>
  <c r="C394" i="4"/>
  <c r="A395" i="4" l="1"/>
  <c r="B395" i="4"/>
  <c r="C395" i="4" s="1"/>
  <c r="D395" i="4" s="1"/>
  <c r="B396" i="4" l="1"/>
  <c r="A396" i="4"/>
  <c r="C396" i="4"/>
  <c r="D396" i="4" s="1"/>
  <c r="B397" i="4" l="1"/>
  <c r="C397" i="4" s="1"/>
  <c r="D397" i="4" s="1"/>
  <c r="A397" i="4"/>
  <c r="A398" i="4" l="1"/>
  <c r="B398" i="4"/>
  <c r="C398" i="4" s="1"/>
  <c r="D398" i="4" s="1"/>
  <c r="B399" i="4" l="1"/>
  <c r="B400" i="4" s="1"/>
  <c r="C399" i="4"/>
  <c r="C400" i="4" s="1"/>
  <c r="A399" i="4"/>
  <c r="D399" i="4" l="1"/>
  <c r="A403" i="4" l="1"/>
  <c r="B403" i="4"/>
  <c r="C403" i="4" l="1"/>
  <c r="D403" i="4" l="1"/>
  <c r="A404" i="4" l="1"/>
  <c r="B404" i="4"/>
  <c r="C404" i="4"/>
  <c r="D404" i="4" l="1"/>
  <c r="C405" i="4" l="1"/>
  <c r="B405" i="4"/>
  <c r="A405" i="4"/>
  <c r="D405" i="4" l="1"/>
  <c r="A406" i="4" l="1"/>
  <c r="B406" i="4"/>
  <c r="C406" i="4" s="1"/>
  <c r="D406" i="4" s="1"/>
  <c r="A407" i="4" l="1"/>
  <c r="D407" i="4"/>
  <c r="B407" i="4"/>
  <c r="C407" i="4"/>
  <c r="A408" i="4" l="1"/>
  <c r="B408" i="4"/>
  <c r="C408" i="4" s="1"/>
  <c r="D408" i="4" s="1"/>
  <c r="A409" i="4" l="1"/>
  <c r="B409" i="4"/>
  <c r="C409" i="4" s="1"/>
  <c r="D409" i="4" s="1"/>
  <c r="A410" i="4" l="1"/>
  <c r="B410" i="4"/>
  <c r="C410" i="4"/>
  <c r="D410" i="4" s="1"/>
  <c r="A411" i="4" l="1"/>
  <c r="B411" i="4"/>
  <c r="C411" i="4" s="1"/>
  <c r="D411" i="4" s="1"/>
  <c r="A412" i="4" l="1"/>
  <c r="B412" i="4"/>
  <c r="C412" i="4"/>
  <c r="D412" i="4"/>
  <c r="A413" i="4" l="1"/>
  <c r="B413" i="4"/>
  <c r="C413" i="4" s="1"/>
  <c r="D413" i="4" s="1"/>
  <c r="A414" i="4" l="1"/>
  <c r="B414" i="4"/>
  <c r="B415" i="4" s="1"/>
  <c r="C414" i="4" l="1"/>
  <c r="C415" i="4" l="1"/>
  <c r="D414" i="4"/>
  <c r="B418" i="4" l="1"/>
  <c r="C418" i="4"/>
  <c r="D418" i="4" s="1"/>
  <c r="A418" i="4"/>
  <c r="B419" i="4" l="1"/>
  <c r="D419" i="4"/>
  <c r="A419" i="4"/>
  <c r="C419" i="4"/>
  <c r="B420" i="4" l="1"/>
  <c r="A420" i="4"/>
  <c r="C420" i="4" l="1"/>
  <c r="D420" i="4" l="1"/>
  <c r="B421" i="4" l="1"/>
  <c r="A421" i="4"/>
  <c r="C421" i="4"/>
  <c r="D421" i="4" s="1"/>
  <c r="A422" i="4" l="1"/>
  <c r="B422" i="4"/>
  <c r="C422" i="4" s="1"/>
  <c r="D422" i="4" s="1"/>
  <c r="B423" i="4" l="1"/>
  <c r="A423" i="4"/>
  <c r="C423" i="4"/>
  <c r="D423" i="4" s="1"/>
  <c r="B424" i="4" l="1"/>
  <c r="A424" i="4"/>
  <c r="C424" i="4"/>
  <c r="D424" i="4" s="1"/>
  <c r="B425" i="4" l="1"/>
  <c r="C425" i="4" s="1"/>
  <c r="D425" i="4" s="1"/>
  <c r="A425" i="4"/>
  <c r="B426" i="4" l="1"/>
  <c r="C426" i="4" s="1"/>
  <c r="D426" i="4" s="1"/>
  <c r="A426" i="4"/>
  <c r="B427" i="4" l="1"/>
  <c r="A427" i="4"/>
  <c r="C427" i="4"/>
  <c r="D427" i="4" s="1"/>
  <c r="B428" i="4" l="1"/>
  <c r="C428" i="4"/>
  <c r="A428" i="4"/>
  <c r="D428" i="4"/>
  <c r="B429" i="4" l="1"/>
  <c r="B430" i="4" s="1"/>
  <c r="A429" i="4"/>
  <c r="C429" i="4"/>
  <c r="C430" i="4" s="1"/>
  <c r="D429" i="4" l="1"/>
  <c r="A433" i="4" l="1"/>
  <c r="B433" i="4"/>
  <c r="C433" i="4"/>
  <c r="D433" i="4" l="1"/>
  <c r="A434" i="4" l="1"/>
  <c r="B434" i="4"/>
  <c r="C434" i="4" s="1"/>
  <c r="D434" i="4" l="1"/>
  <c r="A435" i="4" l="1"/>
  <c r="B435" i="4"/>
  <c r="C435" i="4"/>
  <c r="D435" i="4" l="1"/>
  <c r="A436" i="4" l="1"/>
  <c r="B436" i="4"/>
  <c r="C436" i="4" s="1"/>
  <c r="D436" i="4" s="1"/>
  <c r="A437" i="4" l="1"/>
  <c r="B437" i="4"/>
  <c r="C437" i="4"/>
  <c r="D437" i="4" s="1"/>
  <c r="A438" i="4" l="1"/>
  <c r="B438" i="4"/>
  <c r="C438" i="4" s="1"/>
  <c r="D438" i="4" s="1"/>
  <c r="B439" i="4" l="1"/>
  <c r="C439" i="4" s="1"/>
  <c r="D439" i="4" s="1"/>
  <c r="A439" i="4"/>
  <c r="A440" i="4" l="1"/>
  <c r="B440" i="4"/>
  <c r="C440" i="4"/>
  <c r="D440" i="4" s="1"/>
  <c r="A441" i="4" l="1"/>
  <c r="B441" i="4"/>
  <c r="C441" i="4"/>
  <c r="D441" i="4" s="1"/>
  <c r="B442" i="4" l="1"/>
  <c r="C442" i="4"/>
  <c r="D442" i="4" s="1"/>
  <c r="A442" i="4"/>
  <c r="A443" i="4" l="1"/>
  <c r="B443" i="4"/>
  <c r="C443" i="4" s="1"/>
  <c r="D443" i="4" s="1"/>
  <c r="A444" i="4" l="1"/>
  <c r="B444" i="4"/>
  <c r="B445" i="4" s="1"/>
  <c r="C444" i="4" l="1"/>
  <c r="C445" i="4" l="1"/>
  <c r="D444" i="4"/>
  <c r="A448" i="4" l="1"/>
  <c r="B448" i="4"/>
  <c r="C448" i="4"/>
  <c r="D448" i="4" l="1"/>
  <c r="B449" i="4" l="1"/>
  <c r="A449" i="4"/>
  <c r="C449" i="4"/>
  <c r="D449" i="4" l="1"/>
  <c r="B450" i="4" l="1"/>
  <c r="A450" i="4"/>
  <c r="C450" i="4"/>
  <c r="D450" i="4" l="1"/>
  <c r="B451" i="4" l="1"/>
  <c r="C451" i="4"/>
  <c r="A451" i="4"/>
  <c r="D451" i="4"/>
  <c r="A452" i="4" l="1"/>
  <c r="B452" i="4"/>
  <c r="C452" i="4" s="1"/>
  <c r="D452" i="4" s="1"/>
  <c r="B453" i="4" l="1"/>
  <c r="A453" i="4"/>
  <c r="C453" i="4"/>
  <c r="D453" i="4" s="1"/>
  <c r="B454" i="4" l="1"/>
  <c r="C454" i="4" s="1"/>
  <c r="D454" i="4" s="1"/>
  <c r="A454" i="4"/>
  <c r="A455" i="4" l="1"/>
  <c r="B455" i="4"/>
  <c r="C455" i="4" s="1"/>
  <c r="D455" i="4" s="1"/>
  <c r="B456" i="4" l="1"/>
  <c r="A456" i="4"/>
  <c r="C456" i="4"/>
  <c r="D456" i="4" s="1"/>
  <c r="B457" i="4" l="1"/>
  <c r="C457" i="4" s="1"/>
  <c r="D457" i="4" s="1"/>
  <c r="A457" i="4"/>
  <c r="A458" i="4" l="1"/>
  <c r="B458" i="4"/>
  <c r="C458" i="4" s="1"/>
  <c r="D458" i="4" s="1"/>
  <c r="A459" i="4" l="1"/>
  <c r="B459" i="4"/>
  <c r="B460" i="4" s="1"/>
  <c r="C459" i="4" l="1"/>
  <c r="C460" i="4" l="1"/>
  <c r="D459" i="4"/>
  <c r="B463" i="4" l="1"/>
  <c r="C463" i="4"/>
  <c r="D463" i="4"/>
  <c r="B464" i="4" l="1"/>
  <c r="C464" i="4" s="1"/>
  <c r="D464" i="4" l="1"/>
  <c r="B465" i="4" l="1"/>
  <c r="C465" i="4" s="1"/>
  <c r="D465" i="4" l="1"/>
  <c r="B466" i="4" l="1"/>
  <c r="C466" i="4"/>
  <c r="D466" i="4"/>
  <c r="B467" i="4" l="1"/>
  <c r="C467" i="4"/>
  <c r="D467" i="4" s="1"/>
  <c r="B468" i="4" l="1"/>
  <c r="C468" i="4" s="1"/>
  <c r="D468" i="4" s="1"/>
  <c r="B469" i="4" l="1"/>
  <c r="C469" i="4" s="1"/>
  <c r="D469" i="4" s="1"/>
  <c r="B470" i="4" l="1"/>
  <c r="C470" i="4"/>
  <c r="D470" i="4" s="1"/>
  <c r="B471" i="4" l="1"/>
  <c r="C471" i="4"/>
  <c r="D471" i="4" s="1"/>
  <c r="B472" i="4" l="1"/>
  <c r="C472" i="4" s="1"/>
  <c r="D472" i="4" s="1"/>
  <c r="B473" i="4" l="1"/>
  <c r="C473" i="4"/>
  <c r="D473" i="4" s="1"/>
  <c r="B474" i="4" l="1"/>
  <c r="B475" i="4" s="1"/>
  <c r="C474" i="4" l="1"/>
  <c r="C475" i="4" l="1"/>
  <c r="D4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B5" authorId="0" shapeId="0" xr:uid="{00000000-0006-0000-0D00-000001000000}">
      <text>
        <r>
          <rPr>
            <sz val="8"/>
            <color indexed="81"/>
            <rFont val="Tahoma"/>
            <family val="2"/>
          </rPr>
          <t>The MIRR calculation takes any negative cash flows (after utilization of reserves), zeroes them out and discounts them at the safe rate back to day one of the investment period. You can consider the safe rate to be the interest rate at which you can put money aside, in a secure and reasonably liquid form, so that it will grow to meet the amount needed to cover the negative cash flows.</t>
        </r>
      </text>
    </comment>
    <comment ref="B6" authorId="0" shapeId="0" xr:uid="{00000000-0006-0000-0D00-000002000000}">
      <text>
        <r>
          <rPr>
            <sz val="8"/>
            <color indexed="81"/>
            <rFont val="Tahoma"/>
            <family val="2"/>
          </rPr>
          <t>MIRR takes positive cash flows and compounds them forward to the sale year, using the reinvestment rate (also known as the risk rate). The reinvestment rate is the rate at which you believe you could reinvest your positive cash flows.</t>
        </r>
      </text>
    </comment>
  </commentList>
</comments>
</file>

<file path=xl/sharedStrings.xml><?xml version="1.0" encoding="utf-8"?>
<sst xmlns="http://schemas.openxmlformats.org/spreadsheetml/2006/main" count="339" uniqueCount="155">
  <si>
    <t>PV</t>
  </si>
  <si>
    <t>%I</t>
  </si>
  <si>
    <t>N</t>
  </si>
  <si>
    <t>FV</t>
  </si>
  <si>
    <t>(per period)</t>
  </si>
  <si>
    <t>calculate future value</t>
  </si>
  <si>
    <t>calculate present value</t>
  </si>
  <si>
    <t>calculate periodic rate</t>
  </si>
  <si>
    <t>calculate number of periods</t>
  </si>
  <si>
    <t>Annual Property Operating Data</t>
  </si>
  <si>
    <t>[Project Name]</t>
  </si>
  <si>
    <t>[Project Address]</t>
  </si>
  <si>
    <t>Date:</t>
  </si>
  <si>
    <t>Prepared by:</t>
  </si>
  <si>
    <t>INCOME</t>
  </si>
  <si>
    <t>Comments</t>
  </si>
  <si>
    <t xml:space="preserve">  Gross Scheduled Rent Income                 </t>
  </si>
  <si>
    <t xml:space="preserve">  Other Income                 </t>
  </si>
  <si>
    <t xml:space="preserve">TOTAL GROSS INCOME      </t>
  </si>
  <si>
    <t>VACANCY &amp; CREDIT ALLOWANCE</t>
  </si>
  <si>
    <t xml:space="preserve">GROSS OPERATING INCOME         </t>
  </si>
  <si>
    <t>EXPENSES</t>
  </si>
  <si>
    <t xml:space="preserve">  Accounting  </t>
  </si>
  <si>
    <t xml:space="preserve">  Advertising             </t>
  </si>
  <si>
    <t xml:space="preserve">  Insurance (fire and liability)   </t>
  </si>
  <si>
    <t xml:space="preserve">  Janitorial Service</t>
  </si>
  <si>
    <t xml:space="preserve">  Lawn/Snow</t>
  </si>
  <si>
    <t xml:space="preserve">  Legal</t>
  </si>
  <si>
    <t xml:space="preserve">  Licenses</t>
  </si>
  <si>
    <t xml:space="preserve">  Miscellaneous</t>
  </si>
  <si>
    <t xml:space="preserve">  Property Management</t>
  </si>
  <si>
    <t xml:space="preserve">  Repairs and Maintenance    </t>
  </si>
  <si>
    <t xml:space="preserve">  Resident Superintendent      </t>
  </si>
  <si>
    <t xml:space="preserve">  Supplies                     </t>
  </si>
  <si>
    <t xml:space="preserve">  Taxes</t>
  </si>
  <si>
    <t xml:space="preserve">     Real Estate               </t>
  </si>
  <si>
    <t xml:space="preserve">     Personal Property         </t>
  </si>
  <si>
    <t xml:space="preserve">     Payroll                   </t>
  </si>
  <si>
    <t xml:space="preserve">     Other                     </t>
  </si>
  <si>
    <t xml:space="preserve">  Trash Removal                </t>
  </si>
  <si>
    <t xml:space="preserve">  Utilities</t>
  </si>
  <si>
    <t xml:space="preserve">     Electricity               </t>
  </si>
  <si>
    <t xml:space="preserve">     Fuel Oil                  </t>
  </si>
  <si>
    <t xml:space="preserve">     Gas                       </t>
  </si>
  <si>
    <t xml:space="preserve">     Sewer and Water           </t>
  </si>
  <si>
    <t xml:space="preserve">     Telephone                 </t>
  </si>
  <si>
    <t>TOTAL EXPENSES</t>
  </si>
  <si>
    <t>NET OPERATING INCOME</t>
  </si>
  <si>
    <t>PV@</t>
  </si>
  <si>
    <t>Cash Flow, End of Year 1</t>
  </si>
  <si>
    <t>Cash Flow, End of Year 2</t>
  </si>
  <si>
    <t>Cash Flow, End of Year 3</t>
  </si>
  <si>
    <t>Cash Flow, End of Year 4</t>
  </si>
  <si>
    <t>Cash Flow, End of Year 5</t>
  </si>
  <si>
    <t>Cash Flow, End of Year 6</t>
  </si>
  <si>
    <t>Cash Flow, End of Year 7</t>
  </si>
  <si>
    <t>Cash Flow, End of Year 8</t>
  </si>
  <si>
    <t>Cash Flow, End of Year 9</t>
  </si>
  <si>
    <t>Cash Flow, End of Year 10</t>
  </si>
  <si>
    <t>TOTAL PV</t>
  </si>
  <si>
    <t>LOAN AMORTIZATION SCHEDULE</t>
  </si>
  <si>
    <t>Data Input:</t>
  </si>
  <si>
    <t>Begining Balance:</t>
  </si>
  <si>
    <t>Ann. Int. Rate:</t>
  </si>
  <si>
    <t>%</t>
  </si>
  <si>
    <t>Term, Months:</t>
  </si>
  <si>
    <t>First Pmt Month:</t>
  </si>
  <si>
    <t xml:space="preserve">   Calculated Pmt:</t>
  </si>
  <si>
    <t>First Pmt Year:</t>
  </si>
  <si>
    <t>INTEREST</t>
  </si>
  <si>
    <t>PRINCIPAL</t>
  </si>
  <si>
    <t>BALANCE</t>
  </si>
  <si>
    <t>Cash Flow</t>
  </si>
  <si>
    <t xml:space="preserve">  Property Taxes              </t>
  </si>
  <si>
    <t xml:space="preserve">  Supplies &amp; Miscellaneous  </t>
  </si>
  <si>
    <t xml:space="preserve">  Other</t>
  </si>
  <si>
    <t>Less Annual Debt Service, First Mortgage</t>
  </si>
  <si>
    <t>Less Annual Debt Service, Second Mortgage</t>
  </si>
  <si>
    <t>Less Capital Additions</t>
  </si>
  <si>
    <t>Plus Loan Proceeds</t>
  </si>
  <si>
    <t>Plus Interest Earned</t>
  </si>
  <si>
    <t>CASH FLOW BEFORE TAXES</t>
  </si>
  <si>
    <t>Less Income Tax Liability</t>
  </si>
  <si>
    <t>CASH FLOW AFTER TAXES</t>
  </si>
  <si>
    <t>Sale Proceeds</t>
  </si>
  <si>
    <t>SELLING PRICE</t>
  </si>
  <si>
    <t xml:space="preserve">  Less Costs of Sale</t>
  </si>
  <si>
    <t xml:space="preserve">  Less First Mortgage Payoff</t>
  </si>
  <si>
    <t xml:space="preserve">  Less Second Mortgage Payoff</t>
  </si>
  <si>
    <t>BEFORE-TAX SALE PROCEEDS</t>
  </si>
  <si>
    <t xml:space="preserve">  Less Total Federal Tax on Sale</t>
  </si>
  <si>
    <t>AFTER-TAX SALE PROCEEDS</t>
  </si>
  <si>
    <t>Discount Rate:</t>
  </si>
  <si>
    <t>Monthly</t>
  </si>
  <si>
    <t xml:space="preserve">          month</t>
  </si>
  <si>
    <t>Rent</t>
  </si>
  <si>
    <t>Year 1</t>
  </si>
  <si>
    <t>Year 2</t>
  </si>
  <si>
    <t>Year 3</t>
  </si>
  <si>
    <t>Year 4</t>
  </si>
  <si>
    <t>Year 5</t>
  </si>
  <si>
    <t>Present Value of Lease Payments:</t>
  </si>
  <si>
    <t>Four Annuity Functions (Mortgage Calculations)</t>
  </si>
  <si>
    <t>%i</t>
  </si>
  <si>
    <t>Pmt</t>
  </si>
  <si>
    <t>calculate payment</t>
  </si>
  <si>
    <t>Net Present Value</t>
  </si>
  <si>
    <t>Initial Investment</t>
  </si>
  <si>
    <t>Cash Flow #1</t>
  </si>
  <si>
    <t>Cash Flow #2</t>
  </si>
  <si>
    <t>Cash Flow #3</t>
  </si>
  <si>
    <t>Cash Flow #4</t>
  </si>
  <si>
    <t>Cash Flow #5</t>
  </si>
  <si>
    <t>Cash Flow #6</t>
  </si>
  <si>
    <t>Cash Flow #7</t>
  </si>
  <si>
    <t>Cash Flow #8</t>
  </si>
  <si>
    <t>Cash Flow #9</t>
  </si>
  <si>
    <t>Cash Flow #10</t>
  </si>
  <si>
    <t>Taxable Income</t>
  </si>
  <si>
    <t>Less Interest, First Mortgage</t>
  </si>
  <si>
    <t>Less Interest, Second Mortgage</t>
  </si>
  <si>
    <t>Less Depreciation, Real Property</t>
  </si>
  <si>
    <t>Less Depreciation, Capital Additions</t>
  </si>
  <si>
    <t>TAXABLE INCOME</t>
  </si>
  <si>
    <t>Adjusted Basis</t>
  </si>
  <si>
    <t>ORIGINAL BASIS, Purchase Price of Real Estate</t>
  </si>
  <si>
    <t xml:space="preserve">  Plus Cumulative Capital Additions</t>
  </si>
  <si>
    <t xml:space="preserve">  Plus Costs of Sale</t>
  </si>
  <si>
    <t xml:space="preserve">  Less Cumulative Depreciation, Real Estate</t>
  </si>
  <si>
    <t xml:space="preserve">  Less Cumulative Depreciation, Capital Improvements</t>
  </si>
  <si>
    <t>ADJUSTED BASIS AT SALE</t>
  </si>
  <si>
    <t>Internal Rate of Return</t>
  </si>
  <si>
    <t>Modified Internal Rate of Return</t>
  </si>
  <si>
    <t>% Safe Rate for Modified Internal Rate of Return:</t>
  </si>
  <si>
    <t>% Reinvest Rate for Modified Internal Rate of Return:</t>
  </si>
  <si>
    <t>Initial Investment (as negative amount)</t>
  </si>
  <si>
    <t>RealData.com</t>
  </si>
  <si>
    <t>Go to home page</t>
  </si>
  <si>
    <t>Software for investors &amp; developers</t>
  </si>
  <si>
    <t>Free newsletter</t>
  </si>
  <si>
    <t>Resources &amp; educational articles</t>
  </si>
  <si>
    <t>RealData</t>
  </si>
  <si>
    <t>What Every Real Estate Investor Needs To Know About Cash Flow</t>
  </si>
  <si>
    <t>Excel Templates</t>
  </si>
  <si>
    <t>Compound Interest</t>
  </si>
  <si>
    <t>Discounted Cash Flow</t>
  </si>
  <si>
    <t>Amortization Table</t>
  </si>
  <si>
    <t>Value of a Lease</t>
  </si>
  <si>
    <t>4 Annuity Functions</t>
  </si>
  <si>
    <t>© 1982-2014, RealData® Inc. All Rights Reserved</t>
  </si>
  <si>
    <t xml:space="preserve">   © Copyright 1982-2014, RealData®, Inc.</t>
  </si>
  <si>
    <t>Copyright 1982-2014 RealData® Inc., Southport, CT  All Rights Reserved</t>
  </si>
  <si>
    <t>Copyright 1982-2014 RealData® Inc., Southport, CT All Rights Reserved</t>
  </si>
  <si>
    <t xml:space="preserve">  Expense Recoveries</t>
  </si>
  <si>
    <t>© Copyright 1982-2024  RealData, Inc. Southport, CT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</si>
</sst>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3" formatCode="_(* #,##0.00_);_(* \(#,##0.00\);_(* &quot;-&quot;??_);_(@_)"/>
    <numFmt numFmtId="164" formatCode="#,##0.000"/>
    <numFmt numFmtId="165" formatCode="&quot;$&quot;#,##0.00"/>
  </numFmts>
  <fonts count="37" x14ac:knownFonts="1">
    <font>
      <sz val="10"/>
      <name val="Arial"/>
    </font>
    <font>
      <sz val="10"/>
      <name val="Arial"/>
      <family val="2"/>
    </font>
    <font>
      <u/>
      <sz val="10"/>
      <color indexed="12"/>
      <name val="Arial"/>
      <family val="2"/>
    </font>
    <font>
      <b/>
      <sz val="10"/>
      <name val="Arial"/>
      <family val="2"/>
    </font>
    <font>
      <b/>
      <sz val="8"/>
      <name val="Arial"/>
      <family val="2"/>
    </font>
    <font>
      <sz val="10"/>
      <color indexed="12"/>
      <name val="Arial"/>
      <family val="2"/>
    </font>
    <font>
      <sz val="10"/>
      <color indexed="8"/>
      <name val="Arial"/>
      <family val="2"/>
    </font>
    <font>
      <sz val="8"/>
      <color indexed="8"/>
      <name val="Arial"/>
      <family val="2"/>
    </font>
    <font>
      <b/>
      <sz val="11"/>
      <color indexed="9"/>
      <name val="Arial"/>
      <family val="2"/>
    </font>
    <font>
      <sz val="10"/>
      <color indexed="9"/>
      <name val="Arial"/>
      <family val="2"/>
    </font>
    <font>
      <b/>
      <sz val="9"/>
      <name val="Arial"/>
      <family val="2"/>
    </font>
    <font>
      <sz val="9"/>
      <name val="Arial"/>
      <family val="2"/>
    </font>
    <font>
      <sz val="10"/>
      <name val="Arial"/>
      <family val="2"/>
    </font>
    <font>
      <sz val="9"/>
      <color indexed="8"/>
      <name val="Arial"/>
      <family val="2"/>
    </font>
    <font>
      <sz val="10"/>
      <color indexed="8"/>
      <name val="Geneva"/>
      <family val="2"/>
    </font>
    <font>
      <b/>
      <sz val="10"/>
      <color indexed="8"/>
      <name val="Arial"/>
      <family val="2"/>
    </font>
    <font>
      <sz val="10"/>
      <color indexed="12"/>
      <name val="Geneva"/>
      <family val="2"/>
    </font>
    <font>
      <sz val="10"/>
      <color indexed="9"/>
      <name val="Geneva"/>
      <family val="2"/>
    </font>
    <font>
      <sz val="8"/>
      <color indexed="81"/>
      <name val="Tahoma"/>
      <family val="2"/>
    </font>
    <font>
      <sz val="8"/>
      <name val="Arial"/>
      <family val="2"/>
    </font>
    <font>
      <b/>
      <i/>
      <sz val="18"/>
      <color indexed="56"/>
      <name val="Arial"/>
      <family val="2"/>
    </font>
    <font>
      <sz val="10"/>
      <color indexed="56"/>
      <name val="Arial"/>
      <family val="2"/>
    </font>
    <font>
      <b/>
      <i/>
      <sz val="12"/>
      <color indexed="56"/>
      <name val="Arial"/>
      <family val="2"/>
    </font>
    <font>
      <sz val="9"/>
      <color indexed="56"/>
      <name val="Arial"/>
      <family val="2"/>
    </font>
    <font>
      <b/>
      <i/>
      <sz val="11"/>
      <color indexed="56"/>
      <name val="Arial"/>
      <family val="2"/>
    </font>
    <font>
      <u/>
      <sz val="8"/>
      <color indexed="56"/>
      <name val="Arial"/>
      <family val="2"/>
    </font>
    <font>
      <sz val="10"/>
      <color indexed="36"/>
      <name val="Arial"/>
      <family val="2"/>
    </font>
    <font>
      <b/>
      <sz val="9"/>
      <color indexed="12"/>
      <name val="Arial"/>
      <family val="2"/>
    </font>
    <font>
      <sz val="9"/>
      <color indexed="28"/>
      <name val="Arial"/>
      <family val="2"/>
    </font>
    <font>
      <b/>
      <sz val="10"/>
      <color indexed="12"/>
      <name val="Arial"/>
      <family val="2"/>
    </font>
    <font>
      <sz val="9"/>
      <color indexed="12"/>
      <name val="Arial"/>
      <family val="2"/>
    </font>
    <font>
      <sz val="10"/>
      <color indexed="12"/>
      <name val="Arial"/>
      <family val="2"/>
    </font>
    <font>
      <sz val="8"/>
      <name val="Arial"/>
      <family val="2"/>
    </font>
    <font>
      <sz val="10"/>
      <color rgb="FF0000FF"/>
      <name val="Arial"/>
      <family val="2"/>
    </font>
    <font>
      <sz val="9"/>
      <color rgb="FF0000FF"/>
      <name val="Arial"/>
      <family val="2"/>
    </font>
    <font>
      <b/>
      <sz val="9"/>
      <color rgb="FF0000FF"/>
      <name val="Arial"/>
      <family val="2"/>
    </font>
    <font>
      <sz val="9"/>
      <color theme="1"/>
      <name val="Arial"/>
      <family val="2"/>
    </font>
  </fonts>
  <fills count="5">
    <fill>
      <patternFill patternType="none"/>
    </fill>
    <fill>
      <patternFill patternType="gray125"/>
    </fill>
    <fill>
      <patternFill patternType="solid">
        <fgColor indexed="8"/>
        <bgColor indexed="64"/>
      </patternFill>
    </fill>
    <fill>
      <patternFill patternType="solid">
        <fgColor indexed="54"/>
        <bgColor indexed="64"/>
      </patternFill>
    </fill>
    <fill>
      <patternFill patternType="solid">
        <fgColor indexed="20"/>
        <bgColor indexed="64"/>
      </patternFill>
    </fill>
  </fills>
  <borders count="22">
    <border>
      <left/>
      <right/>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indexed="56"/>
      </left>
      <right/>
      <top style="thin">
        <color indexed="56"/>
      </top>
      <bottom/>
      <diagonal/>
    </border>
    <border>
      <left/>
      <right/>
      <top style="thin">
        <color indexed="56"/>
      </top>
      <bottom/>
      <diagonal/>
    </border>
    <border>
      <left/>
      <right style="thin">
        <color indexed="56"/>
      </right>
      <top style="thin">
        <color indexed="56"/>
      </top>
      <bottom/>
      <diagonal/>
    </border>
    <border>
      <left style="thin">
        <color indexed="56"/>
      </left>
      <right/>
      <top/>
      <bottom/>
      <diagonal/>
    </border>
    <border>
      <left/>
      <right style="thin">
        <color indexed="56"/>
      </right>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right style="thin">
        <color auto="1"/>
      </right>
      <top style="thin">
        <color auto="1"/>
      </top>
      <bottom style="thin">
        <color auto="1"/>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173">
    <xf numFmtId="0" fontId="0" fillId="0" borderId="0" xfId="0"/>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right"/>
    </xf>
    <xf numFmtId="8" fontId="5" fillId="0" borderId="0" xfId="1" applyNumberFormat="1" applyFont="1" applyProtection="1">
      <protection locked="0"/>
    </xf>
    <xf numFmtId="10" fontId="5" fillId="0" borderId="0" xfId="4" applyNumberFormat="1" applyFont="1" applyProtection="1">
      <protection locked="0"/>
    </xf>
    <xf numFmtId="0" fontId="5" fillId="0" borderId="0" xfId="0" applyFont="1" applyProtection="1">
      <protection locked="0"/>
    </xf>
    <xf numFmtId="8" fontId="1" fillId="0" borderId="0" xfId="1" applyNumberFormat="1" applyProtection="1"/>
    <xf numFmtId="8" fontId="6" fillId="0" borderId="0" xfId="1" applyNumberFormat="1" applyFont="1" applyProtection="1"/>
    <xf numFmtId="10" fontId="1" fillId="0" borderId="0" xfId="4" applyNumberFormat="1" applyFont="1" applyProtection="1"/>
    <xf numFmtId="43" fontId="1" fillId="0" borderId="0" xfId="1" applyProtection="1"/>
    <xf numFmtId="10" fontId="1" fillId="0" borderId="0" xfId="4" applyNumberFormat="1" applyProtection="1"/>
    <xf numFmtId="0" fontId="7" fillId="0" borderId="0" xfId="2" applyFont="1" applyAlignment="1" applyProtection="1">
      <alignment horizontal="centerContinuous"/>
    </xf>
    <xf numFmtId="0" fontId="7" fillId="0" borderId="0" xfId="0" applyFont="1"/>
    <xf numFmtId="0" fontId="2" fillId="0" borderId="0" xfId="2" applyAlignment="1" applyProtection="1"/>
    <xf numFmtId="0" fontId="8" fillId="2" borderId="1" xfId="0" applyFont="1" applyFill="1" applyBorder="1" applyAlignment="1">
      <alignment horizontal="left" vertical="center"/>
    </xf>
    <xf numFmtId="0" fontId="8" fillId="2" borderId="0" xfId="0" applyFont="1" applyFill="1" applyAlignment="1">
      <alignment horizontal="left" vertical="center"/>
    </xf>
    <xf numFmtId="0" fontId="9" fillId="2" borderId="0" xfId="0" applyFont="1" applyFill="1"/>
    <xf numFmtId="0" fontId="0" fillId="2" borderId="2" xfId="0" applyFill="1" applyBorder="1"/>
    <xf numFmtId="0" fontId="10" fillId="0" borderId="1" xfId="0" applyFont="1" applyBorder="1" applyAlignment="1">
      <alignment horizontal="left"/>
    </xf>
    <xf numFmtId="0" fontId="10" fillId="0" borderId="0" xfId="0" applyFont="1" applyAlignment="1">
      <alignment horizontal="left"/>
    </xf>
    <xf numFmtId="0" fontId="0" fillId="0" borderId="3" xfId="0" applyBorder="1"/>
    <xf numFmtId="0" fontId="10" fillId="0" borderId="0" xfId="0" applyFont="1" applyAlignment="1" applyProtection="1">
      <alignment horizontal="left"/>
      <protection locked="0"/>
    </xf>
    <xf numFmtId="0" fontId="0" fillId="0" borderId="3" xfId="0" applyBorder="1" applyProtection="1">
      <protection locked="0"/>
    </xf>
    <xf numFmtId="0" fontId="3" fillId="0" borderId="1" xfId="0" applyFont="1" applyBorder="1"/>
    <xf numFmtId="0" fontId="3" fillId="0" borderId="0" xfId="0" applyFont="1" applyProtection="1">
      <protection locked="0"/>
    </xf>
    <xf numFmtId="14" fontId="0" fillId="0" borderId="3" xfId="0" applyNumberFormat="1" applyBorder="1" applyProtection="1">
      <protection locked="0"/>
    </xf>
    <xf numFmtId="14" fontId="0" fillId="0" borderId="3" xfId="0" applyNumberFormat="1" applyBorder="1"/>
    <xf numFmtId="0" fontId="0" fillId="0" borderId="4" xfId="0" applyBorder="1"/>
    <xf numFmtId="0" fontId="0" fillId="0" borderId="5" xfId="0" applyBorder="1" applyProtection="1">
      <protection locked="0"/>
    </xf>
    <xf numFmtId="0" fontId="0" fillId="0" borderId="6" xfId="0" applyBorder="1" applyProtection="1">
      <protection locked="0"/>
    </xf>
    <xf numFmtId="0" fontId="10" fillId="0" borderId="7" xfId="0" applyFont="1" applyBorder="1" applyAlignment="1">
      <alignment horizontal="left"/>
    </xf>
    <xf numFmtId="0" fontId="10" fillId="0" borderId="8" xfId="0" applyFont="1" applyBorder="1" applyAlignment="1">
      <alignment horizontal="left"/>
    </xf>
    <xf numFmtId="0" fontId="11" fillId="0" borderId="2" xfId="0" applyFont="1" applyBorder="1"/>
    <xf numFmtId="0" fontId="11" fillId="0" borderId="9" xfId="0" applyFont="1" applyBorder="1"/>
    <xf numFmtId="0" fontId="3" fillId="0" borderId="10" xfId="0" applyFont="1" applyBorder="1" applyAlignment="1">
      <alignment horizontal="center"/>
    </xf>
    <xf numFmtId="0" fontId="11" fillId="0" borderId="1" xfId="0" applyFont="1" applyBorder="1" applyAlignment="1">
      <alignment horizontal="left"/>
    </xf>
    <xf numFmtId="0" fontId="11" fillId="0" borderId="0" xfId="0" applyFont="1" applyAlignment="1">
      <alignment horizontal="left"/>
    </xf>
    <xf numFmtId="10" fontId="11" fillId="0" borderId="11" xfId="4" applyNumberFormat="1" applyFont="1" applyBorder="1" applyProtection="1"/>
    <xf numFmtId="0" fontId="11" fillId="0" borderId="1" xfId="0" applyFont="1" applyBorder="1"/>
    <xf numFmtId="0" fontId="11" fillId="0" borderId="0" xfId="0" applyFont="1"/>
    <xf numFmtId="0" fontId="0" fillId="0" borderId="12" xfId="0" applyBorder="1" applyProtection="1">
      <protection locked="0"/>
    </xf>
    <xf numFmtId="0" fontId="10" fillId="0" borderId="4" xfId="0" applyFont="1" applyBorder="1" applyAlignment="1">
      <alignment horizontal="left"/>
    </xf>
    <xf numFmtId="0" fontId="10" fillId="0" borderId="5" xfId="0" applyFont="1" applyBorder="1" applyAlignment="1">
      <alignment horizontal="left"/>
    </xf>
    <xf numFmtId="37" fontId="11" fillId="0" borderId="6" xfId="0" applyNumberFormat="1" applyFont="1" applyBorder="1"/>
    <xf numFmtId="10" fontId="11" fillId="0" borderId="6" xfId="4" applyNumberFormat="1" applyFont="1" applyBorder="1" applyProtection="1"/>
    <xf numFmtId="0" fontId="11" fillId="0" borderId="7" xfId="0" applyFont="1" applyBorder="1"/>
    <xf numFmtId="0" fontId="11" fillId="0" borderId="8" xfId="0" applyFont="1" applyBorder="1"/>
    <xf numFmtId="37" fontId="11" fillId="0" borderId="2" xfId="0" applyNumberFormat="1" applyFont="1" applyBorder="1"/>
    <xf numFmtId="0" fontId="0" fillId="0" borderId="9" xfId="0" applyBorder="1" applyProtection="1">
      <protection locked="0"/>
    </xf>
    <xf numFmtId="0" fontId="10" fillId="0" borderId="4" xfId="0" applyFont="1" applyBorder="1"/>
    <xf numFmtId="0" fontId="10" fillId="0" borderId="5" xfId="0" applyFont="1" applyBorder="1"/>
    <xf numFmtId="0" fontId="0" fillId="0" borderId="10" xfId="0" applyBorder="1" applyProtection="1">
      <protection locked="0"/>
    </xf>
    <xf numFmtId="0" fontId="0" fillId="0" borderId="9" xfId="0" applyBorder="1"/>
    <xf numFmtId="0" fontId="10" fillId="0" borderId="1" xfId="0" applyFont="1" applyBorder="1"/>
    <xf numFmtId="0" fontId="10" fillId="0" borderId="0" xfId="0" applyFont="1"/>
    <xf numFmtId="37" fontId="11" fillId="0" borderId="3" xfId="0" applyNumberFormat="1" applyFont="1" applyBorder="1"/>
    <xf numFmtId="37" fontId="11" fillId="0" borderId="11" xfId="0" applyNumberFormat="1" applyFont="1" applyBorder="1"/>
    <xf numFmtId="0" fontId="0" fillId="0" borderId="10" xfId="0" applyBorder="1"/>
    <xf numFmtId="10" fontId="11" fillId="0" borderId="10" xfId="4" applyNumberFormat="1" applyFont="1" applyBorder="1" applyProtection="1"/>
    <xf numFmtId="37" fontId="0" fillId="0" borderId="0" xfId="0" applyNumberFormat="1"/>
    <xf numFmtId="3" fontId="12" fillId="0" borderId="0" xfId="1" applyNumberFormat="1" applyFont="1"/>
    <xf numFmtId="0" fontId="3" fillId="0" borderId="0" xfId="0" applyFont="1"/>
    <xf numFmtId="10" fontId="3" fillId="0" borderId="0" xfId="0" applyNumberFormat="1" applyFont="1" applyAlignment="1">
      <alignment horizontal="right"/>
    </xf>
    <xf numFmtId="0" fontId="6" fillId="0" borderId="0" xfId="2" applyFont="1" applyAlignment="1" applyProtection="1">
      <alignment horizontal="centerContinuous"/>
    </xf>
    <xf numFmtId="0" fontId="13" fillId="0" borderId="0" xfId="2" applyFont="1" applyAlignment="1" applyProtection="1">
      <alignment horizontal="centerContinuous"/>
    </xf>
    <xf numFmtId="0" fontId="6" fillId="0" borderId="0" xfId="3" applyFont="1"/>
    <xf numFmtId="0" fontId="14" fillId="0" borderId="0" xfId="3"/>
    <xf numFmtId="0" fontId="15" fillId="0" borderId="0" xfId="3" applyFont="1"/>
    <xf numFmtId="0" fontId="7" fillId="0" borderId="0" xfId="3" applyFont="1"/>
    <xf numFmtId="0" fontId="15" fillId="0" borderId="0" xfId="3" applyFont="1" applyAlignment="1">
      <alignment vertical="center"/>
    </xf>
    <xf numFmtId="0" fontId="6" fillId="0" borderId="0" xfId="3" applyFont="1" applyAlignment="1">
      <alignment horizontal="right"/>
    </xf>
    <xf numFmtId="4" fontId="5" fillId="0" borderId="0" xfId="3" applyNumberFormat="1" applyFont="1" applyProtection="1">
      <protection locked="0"/>
    </xf>
    <xf numFmtId="164" fontId="5" fillId="0" borderId="0" xfId="3" applyNumberFormat="1" applyFont="1" applyProtection="1">
      <protection locked="0"/>
    </xf>
    <xf numFmtId="0" fontId="6" fillId="0" borderId="0" xfId="3" applyFont="1" applyAlignment="1">
      <alignment horizontal="left"/>
    </xf>
    <xf numFmtId="0" fontId="5" fillId="0" borderId="0" xfId="3" applyFont="1" applyProtection="1">
      <protection locked="0"/>
    </xf>
    <xf numFmtId="0" fontId="16" fillId="0" borderId="0" xfId="3" applyFont="1"/>
    <xf numFmtId="165" fontId="6" fillId="0" borderId="0" xfId="3" applyNumberFormat="1" applyFont="1"/>
    <xf numFmtId="4" fontId="14" fillId="0" borderId="0" xfId="3" applyNumberFormat="1"/>
    <xf numFmtId="14" fontId="17" fillId="0" borderId="5" xfId="3" applyNumberFormat="1" applyFont="1" applyBorder="1"/>
    <xf numFmtId="165" fontId="6" fillId="0" borderId="5" xfId="3" applyNumberFormat="1" applyFont="1" applyBorder="1"/>
    <xf numFmtId="0" fontId="6" fillId="0" borderId="5" xfId="3" applyFont="1" applyBorder="1" applyAlignment="1">
      <alignment horizontal="right"/>
    </xf>
    <xf numFmtId="14" fontId="6" fillId="0" borderId="5" xfId="3" applyNumberFormat="1" applyFont="1" applyBorder="1" applyAlignment="1" applyProtection="1">
      <alignment horizontal="right"/>
      <protection locked="0"/>
    </xf>
    <xf numFmtId="0" fontId="15" fillId="0" borderId="0" xfId="3" applyFont="1" applyAlignment="1">
      <alignment horizontal="right"/>
    </xf>
    <xf numFmtId="0" fontId="14" fillId="0" borderId="0" xfId="3" applyAlignment="1">
      <alignment horizontal="right"/>
    </xf>
    <xf numFmtId="4" fontId="6" fillId="0" borderId="0" xfId="3" applyNumberFormat="1" applyFont="1" applyAlignment="1">
      <alignment horizontal="right"/>
    </xf>
    <xf numFmtId="0" fontId="15" fillId="0" borderId="8" xfId="3" applyFont="1" applyBorder="1"/>
    <xf numFmtId="4" fontId="15" fillId="0" borderId="8" xfId="3" applyNumberFormat="1" applyFont="1" applyBorder="1" applyAlignment="1">
      <alignment horizontal="right"/>
    </xf>
    <xf numFmtId="4" fontId="6" fillId="0" borderId="8" xfId="3" applyNumberFormat="1" applyFont="1" applyBorder="1" applyAlignment="1">
      <alignment horizontal="right"/>
    </xf>
    <xf numFmtId="4" fontId="15" fillId="0" borderId="0" xfId="3" applyNumberFormat="1" applyFont="1" applyAlignment="1">
      <alignment horizontal="right"/>
    </xf>
    <xf numFmtId="0" fontId="8" fillId="2" borderId="1" xfId="0" applyFont="1" applyFill="1" applyBorder="1" applyAlignment="1">
      <alignment horizontal="centerContinuous" vertical="center"/>
    </xf>
    <xf numFmtId="0" fontId="8" fillId="2" borderId="0" xfId="0" applyFont="1" applyFill="1" applyAlignment="1">
      <alignment horizontal="centerContinuous" vertical="center"/>
    </xf>
    <xf numFmtId="0" fontId="9" fillId="2" borderId="3" xfId="0" applyFont="1" applyFill="1" applyBorder="1" applyAlignment="1">
      <alignment horizontal="centerContinuous"/>
    </xf>
    <xf numFmtId="14" fontId="0" fillId="0" borderId="0" xfId="0" applyNumberFormat="1" applyAlignment="1" applyProtection="1">
      <alignment horizontal="left"/>
      <protection locked="0"/>
    </xf>
    <xf numFmtId="0" fontId="0" fillId="0" borderId="5" xfId="0" applyBorder="1"/>
    <xf numFmtId="0" fontId="0" fillId="0" borderId="6" xfId="0" applyBorder="1"/>
    <xf numFmtId="0" fontId="0" fillId="0" borderId="1" xfId="0" applyBorder="1"/>
    <xf numFmtId="0" fontId="3" fillId="0" borderId="4" xfId="0" applyFont="1" applyBorder="1"/>
    <xf numFmtId="0" fontId="6" fillId="0" borderId="0" xfId="0" applyFont="1"/>
    <xf numFmtId="0" fontId="0" fillId="0" borderId="0" xfId="0" applyAlignment="1">
      <alignment horizontal="right"/>
    </xf>
    <xf numFmtId="0" fontId="0" fillId="0" borderId="5" xfId="0" applyBorder="1" applyAlignment="1">
      <alignment horizontal="center"/>
    </xf>
    <xf numFmtId="3" fontId="5" fillId="0" borderId="0" xfId="1" applyNumberFormat="1" applyFont="1" applyProtection="1">
      <protection locked="0"/>
    </xf>
    <xf numFmtId="6" fontId="0" fillId="0" borderId="0" xfId="0" applyNumberFormat="1"/>
    <xf numFmtId="0" fontId="0" fillId="0" borderId="0" xfId="0"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3" fillId="0" borderId="0" xfId="0" quotePrefix="1" applyFont="1" applyAlignment="1">
      <alignment horizontal="right"/>
    </xf>
    <xf numFmtId="39" fontId="1" fillId="0" borderId="0" xfId="1" applyNumberFormat="1" applyAlignment="1" applyProtection="1">
      <alignment horizontal="right"/>
    </xf>
    <xf numFmtId="39" fontId="5" fillId="0" borderId="0" xfId="1" applyNumberFormat="1" applyFont="1" applyProtection="1">
      <protection locked="0"/>
    </xf>
    <xf numFmtId="1" fontId="0" fillId="0" borderId="0" xfId="0" applyNumberFormat="1" applyAlignment="1">
      <alignment horizontal="right"/>
    </xf>
    <xf numFmtId="1" fontId="5" fillId="0" borderId="0" xfId="0" applyNumberFormat="1" applyFont="1" applyProtection="1">
      <protection locked="0"/>
    </xf>
    <xf numFmtId="10" fontId="1" fillId="0" borderId="0" xfId="4" applyNumberFormat="1" applyAlignment="1" applyProtection="1">
      <alignment horizontal="right"/>
    </xf>
    <xf numFmtId="0" fontId="12" fillId="0" borderId="0" xfId="0" applyFont="1"/>
    <xf numFmtId="3" fontId="0" fillId="0" borderId="0" xfId="0" applyNumberFormat="1"/>
    <xf numFmtId="37" fontId="3" fillId="0" borderId="0" xfId="0" applyNumberFormat="1" applyFont="1"/>
    <xf numFmtId="0" fontId="7" fillId="0" borderId="0" xfId="2" applyFont="1" applyAlignment="1" applyProtection="1">
      <alignment horizontal="left"/>
    </xf>
    <xf numFmtId="9" fontId="0" fillId="0" borderId="0" xfId="0" applyNumberFormat="1"/>
    <xf numFmtId="0" fontId="12" fillId="0" borderId="0" xfId="0" quotePrefix="1" applyFont="1" applyAlignment="1">
      <alignment horizontal="right"/>
    </xf>
    <xf numFmtId="10" fontId="0" fillId="0" borderId="0" xfId="0" applyNumberFormat="1"/>
    <xf numFmtId="0" fontId="7" fillId="0" borderId="0" xfId="2" applyFont="1" applyAlignment="1" applyProtection="1"/>
    <xf numFmtId="0" fontId="9" fillId="0" borderId="0" xfId="0" applyFont="1"/>
    <xf numFmtId="0" fontId="0" fillId="3" borderId="13" xfId="0" applyFill="1" applyBorder="1"/>
    <xf numFmtId="0" fontId="0" fillId="3" borderId="14" xfId="0" applyFill="1" applyBorder="1"/>
    <xf numFmtId="0" fontId="0" fillId="3" borderId="15" xfId="0" applyFill="1" applyBorder="1"/>
    <xf numFmtId="0" fontId="20" fillId="3" borderId="16" xfId="0" applyFont="1" applyFill="1" applyBorder="1" applyAlignment="1">
      <alignment horizontal="centerContinuous"/>
    </xf>
    <xf numFmtId="0" fontId="21" fillId="3" borderId="0" xfId="0" applyFont="1" applyFill="1" applyAlignment="1">
      <alignment horizontal="centerContinuous"/>
    </xf>
    <xf numFmtId="0" fontId="21" fillId="3" borderId="17" xfId="0" applyFont="1" applyFill="1" applyBorder="1" applyAlignment="1">
      <alignment horizontal="centerContinuous"/>
    </xf>
    <xf numFmtId="0" fontId="22" fillId="3" borderId="16" xfId="0" applyFont="1" applyFill="1" applyBorder="1" applyAlignment="1">
      <alignment horizontal="centerContinuous"/>
    </xf>
    <xf numFmtId="0" fontId="0" fillId="3" borderId="16" xfId="0" applyFill="1" applyBorder="1"/>
    <xf numFmtId="0" fontId="0" fillId="3" borderId="0" xfId="0" applyFill="1"/>
    <xf numFmtId="0" fontId="0" fillId="3" borderId="17" xfId="0" applyFill="1" applyBorder="1"/>
    <xf numFmtId="0" fontId="23" fillId="4" borderId="16" xfId="0" applyFont="1" applyFill="1" applyBorder="1" applyAlignment="1">
      <alignment horizontal="centerContinuous" vertical="center"/>
    </xf>
    <xf numFmtId="0" fontId="0" fillId="4" borderId="0" xfId="0" applyFill="1" applyAlignment="1">
      <alignment horizontal="centerContinuous"/>
    </xf>
    <xf numFmtId="0" fontId="0" fillId="4" borderId="17" xfId="0" applyFill="1" applyBorder="1" applyAlignment="1">
      <alignment horizontal="centerContinuous"/>
    </xf>
    <xf numFmtId="0" fontId="2" fillId="3" borderId="0" xfId="2" applyFill="1" applyAlignment="1" applyProtection="1">
      <alignment horizontal="left"/>
    </xf>
    <xf numFmtId="0" fontId="24" fillId="3" borderId="0" xfId="0" applyFont="1" applyFill="1"/>
    <xf numFmtId="0" fontId="0" fillId="3" borderId="18" xfId="0" applyFill="1" applyBorder="1"/>
    <xf numFmtId="0" fontId="0" fillId="3" borderId="19" xfId="0" applyFill="1" applyBorder="1"/>
    <xf numFmtId="0" fontId="0" fillId="3" borderId="20" xfId="0" applyFill="1" applyBorder="1"/>
    <xf numFmtId="0" fontId="19" fillId="0" borderId="0" xfId="0" applyFont="1" applyAlignment="1">
      <alignment horizontal="centerContinuous"/>
    </xf>
    <xf numFmtId="0" fontId="25" fillId="3" borderId="19" xfId="2" applyFont="1" applyFill="1" applyBorder="1" applyAlignment="1" applyProtection="1">
      <alignment horizontal="left" vertical="center"/>
    </xf>
    <xf numFmtId="3" fontId="26" fillId="0" borderId="0" xfId="1" applyNumberFormat="1" applyFont="1" applyProtection="1">
      <protection locked="0"/>
    </xf>
    <xf numFmtId="0" fontId="27" fillId="0" borderId="1" xfId="0" applyFont="1" applyBorder="1" applyAlignment="1" applyProtection="1">
      <alignment horizontal="left"/>
      <protection locked="0"/>
    </xf>
    <xf numFmtId="14" fontId="28" fillId="0" borderId="0" xfId="0" applyNumberFormat="1" applyFont="1" applyAlignment="1" applyProtection="1">
      <alignment horizontal="left"/>
      <protection locked="0"/>
    </xf>
    <xf numFmtId="0" fontId="29" fillId="0" borderId="0" xfId="0" applyFont="1" applyProtection="1">
      <protection locked="0"/>
    </xf>
    <xf numFmtId="37" fontId="30" fillId="0" borderId="0" xfId="0" applyNumberFormat="1" applyFont="1" applyProtection="1">
      <protection locked="0"/>
    </xf>
    <xf numFmtId="37" fontId="30" fillId="0" borderId="3" xfId="0" applyNumberFormat="1" applyFont="1" applyBorder="1" applyProtection="1">
      <protection locked="0"/>
    </xf>
    <xf numFmtId="0" fontId="31" fillId="0" borderId="21" xfId="0" applyFont="1" applyBorder="1" applyProtection="1">
      <protection locked="0"/>
    </xf>
    <xf numFmtId="0" fontId="31" fillId="0" borderId="12" xfId="0" applyFont="1" applyBorder="1" applyProtection="1">
      <protection locked="0"/>
    </xf>
    <xf numFmtId="0" fontId="31" fillId="0" borderId="10" xfId="0" applyFont="1" applyBorder="1" applyProtection="1">
      <protection locked="0"/>
    </xf>
    <xf numFmtId="3" fontId="33" fillId="0" borderId="12" xfId="1" applyNumberFormat="1" applyFont="1" applyBorder="1" applyProtection="1">
      <protection locked="0"/>
    </xf>
    <xf numFmtId="9" fontId="33" fillId="0" borderId="12" xfId="4" applyFont="1" applyBorder="1" applyAlignment="1" applyProtection="1">
      <alignment horizontal="center"/>
      <protection locked="0"/>
    </xf>
    <xf numFmtId="0" fontId="16" fillId="0" borderId="0" xfId="3" applyFont="1" applyProtection="1">
      <protection locked="0"/>
    </xf>
    <xf numFmtId="37" fontId="34" fillId="0" borderId="3" xfId="0" applyNumberFormat="1" applyFont="1" applyBorder="1" applyProtection="1">
      <protection locked="0"/>
    </xf>
    <xf numFmtId="37" fontId="34" fillId="0" borderId="6" xfId="0" applyNumberFormat="1" applyFont="1" applyBorder="1" applyProtection="1">
      <protection locked="0"/>
    </xf>
    <xf numFmtId="0" fontId="35" fillId="0" borderId="1" xfId="0" applyFont="1" applyBorder="1" applyAlignment="1" applyProtection="1">
      <alignment horizontal="left"/>
      <protection locked="0"/>
    </xf>
    <xf numFmtId="37" fontId="33" fillId="0" borderId="12" xfId="0" applyNumberFormat="1" applyFont="1" applyBorder="1" applyProtection="1">
      <protection locked="0"/>
    </xf>
    <xf numFmtId="10" fontId="33" fillId="0" borderId="12" xfId="4" applyNumberFormat="1" applyFont="1" applyBorder="1" applyProtection="1">
      <protection locked="0"/>
    </xf>
    <xf numFmtId="37" fontId="33" fillId="0" borderId="12" xfId="1" applyNumberFormat="1" applyFont="1" applyBorder="1" applyProtection="1">
      <protection locked="0"/>
    </xf>
    <xf numFmtId="10" fontId="33" fillId="0" borderId="12" xfId="0" applyNumberFormat="1" applyFont="1" applyBorder="1" applyAlignment="1" applyProtection="1">
      <alignment horizontal="right"/>
      <protection locked="0"/>
    </xf>
    <xf numFmtId="37" fontId="36" fillId="0" borderId="6" xfId="0" applyNumberFormat="1" applyFont="1" applyBorder="1"/>
    <xf numFmtId="37" fontId="36" fillId="0" borderId="3" xfId="0" applyNumberFormat="1" applyFont="1" applyBorder="1"/>
    <xf numFmtId="10" fontId="34" fillId="0" borderId="6" xfId="4" applyNumberFormat="1" applyFont="1" applyBorder="1" applyProtection="1">
      <protection locked="0"/>
    </xf>
    <xf numFmtId="10" fontId="34" fillId="0" borderId="3" xfId="4" applyNumberFormat="1" applyFont="1" applyBorder="1" applyProtection="1">
      <protection locked="0"/>
    </xf>
    <xf numFmtId="0" fontId="2" fillId="3" borderId="0" xfId="2" applyFill="1" applyAlignment="1" applyProtection="1">
      <alignment horizontal="left"/>
    </xf>
    <xf numFmtId="0" fontId="2" fillId="0" borderId="0" xfId="2" applyAlignment="1" applyProtection="1"/>
    <xf numFmtId="0" fontId="2" fillId="3" borderId="0" xfId="2" applyFill="1" applyBorder="1" applyAlignment="1" applyProtection="1"/>
    <xf numFmtId="0" fontId="0" fillId="0" borderId="0" xfId="0"/>
    <xf numFmtId="0" fontId="2" fillId="3" borderId="0" xfId="2" applyFill="1" applyBorder="1" applyAlignment="1" applyProtection="1">
      <alignment horizontal="left"/>
    </xf>
    <xf numFmtId="0" fontId="2" fillId="0" borderId="0" xfId="2" applyAlignment="1" applyProtection="1">
      <alignment horizontal="left"/>
    </xf>
    <xf numFmtId="0" fontId="32" fillId="0" borderId="0" xfId="0" applyFont="1" applyAlignment="1">
      <alignment horizontal="center"/>
    </xf>
    <xf numFmtId="0" fontId="0" fillId="0" borderId="0" xfId="0" applyAlignment="1">
      <alignment horizontal="center"/>
    </xf>
  </cellXfs>
  <cellStyles count="5">
    <cellStyle name="Comma" xfId="1" builtinId="3"/>
    <cellStyle name="Hyperlink" xfId="2" builtinId="8"/>
    <cellStyle name="Normal" xfId="0" builtinId="0"/>
    <cellStyle name="Normal_amort" xfId="3" xr:uid="{00000000-0005-0000-0000-000003000000}"/>
    <cellStyle name="Percent" xfId="4" builtinId="5"/>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B3E2F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F3FBFF"/>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368300</xdr:colOff>
      <xdr:row>26</xdr:row>
      <xdr:rowOff>50800</xdr:rowOff>
    </xdr:from>
    <xdr:to>
      <xdr:col>9</xdr:col>
      <xdr:colOff>1384300</xdr:colOff>
      <xdr:row>32</xdr:row>
      <xdr:rowOff>38100</xdr:rowOff>
    </xdr:to>
    <xdr:pic>
      <xdr:nvPicPr>
        <xdr:cNvPr id="1082" name="Picture 1" descr="RealDataLogoTransparentBG">
          <a:extLst>
            <a:ext uri="{FF2B5EF4-FFF2-40B4-BE49-F238E27FC236}">
              <a16:creationId xmlns:a16="http://schemas.microsoft.com/office/drawing/2014/main" id="{00000000-0008-0000-0000-00003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6400" y="4305300"/>
          <a:ext cx="1435100" cy="96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146050</xdr:colOff>
      <xdr:row>9</xdr:row>
      <xdr:rowOff>47625</xdr:rowOff>
    </xdr:from>
    <xdr:to>
      <xdr:col>9</xdr:col>
      <xdr:colOff>1355836</xdr:colOff>
      <xdr:row>10</xdr:row>
      <xdr:rowOff>85725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1000125" y="1581150"/>
          <a:ext cx="3981450" cy="200025"/>
        </a:xfrm>
        <a:prstGeom prst="rect">
          <a:avLst/>
        </a:prstGeom>
        <a:noFill/>
        <a:ln>
          <a:noFill/>
        </a:ln>
        <a:extLst>
          <a:ext uri="{909E8E84-426E-40dd-AFC4-6F175D3DCCD1}"/>
          <a:ext uri="{91240B29-F687-4f45-9708-019B960494DF}"/>
        </a:extLst>
      </xdr:spPr>
      <xdr:txBody>
        <a:bodyPr vertOverflow="clip" wrap="square" lIns="27432" tIns="22860" rIns="27432" bIns="0" anchor="t" upright="1"/>
        <a:lstStyle/>
        <a:p>
          <a:pPr algn="just" rtl="0">
            <a:defRPr sz="1000"/>
          </a:pPr>
          <a:r>
            <a:rPr lang="en-US" sz="1000" b="0" i="0" u="none" strike="noStrike" baseline="0">
              <a:solidFill>
                <a:srgbClr val="000000"/>
              </a:solidFill>
              <a:latin typeface="Arial"/>
              <a:cs typeface="Arial"/>
            </a:rPr>
            <a:t>Each of the 13 links below will take you to a template.</a:t>
          </a:r>
        </a:p>
      </xdr:txBody>
    </xdr:sp>
    <xdr:clientData/>
  </xdr:twoCellAnchor>
  <xdr:twoCellAnchor>
    <xdr:from>
      <xdr:col>0</xdr:col>
      <xdr:colOff>0</xdr:colOff>
      <xdr:row>0</xdr:row>
      <xdr:rowOff>0</xdr:rowOff>
    </xdr:from>
    <xdr:to>
      <xdr:col>1</xdr:col>
      <xdr:colOff>38100</xdr:colOff>
      <xdr:row>1</xdr:row>
      <xdr:rowOff>50800</xdr:rowOff>
    </xdr:to>
    <xdr:sp macro="" textlink="">
      <xdr:nvSpPr>
        <xdr:cNvPr id="1084" name="Rectangle 4">
          <a:extLst>
            <a:ext uri="{FF2B5EF4-FFF2-40B4-BE49-F238E27FC236}">
              <a16:creationId xmlns:a16="http://schemas.microsoft.com/office/drawing/2014/main" id="{00000000-0008-0000-0000-00003C040000}"/>
            </a:ext>
          </a:extLst>
        </xdr:cNvPr>
        <xdr:cNvSpPr>
          <a:spLocks noChangeArrowheads="1"/>
        </xdr:cNvSpPr>
      </xdr:nvSpPr>
      <xdr:spPr bwMode="auto">
        <a:xfrm>
          <a:off x="0" y="0"/>
          <a:ext cx="711200" cy="2159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241300</xdr:colOff>
      <xdr:row>5</xdr:row>
      <xdr:rowOff>88900</xdr:rowOff>
    </xdr:from>
    <xdr:to>
      <xdr:col>13</xdr:col>
      <xdr:colOff>304800</xdr:colOff>
      <xdr:row>5</xdr:row>
      <xdr:rowOff>88900</xdr:rowOff>
    </xdr:to>
    <xdr:sp macro="" textlink="">
      <xdr:nvSpPr>
        <xdr:cNvPr id="3109" name="Line 1">
          <a:extLst>
            <a:ext uri="{FF2B5EF4-FFF2-40B4-BE49-F238E27FC236}">
              <a16:creationId xmlns:a16="http://schemas.microsoft.com/office/drawing/2014/main" id="{00000000-0008-0000-0700-0000250C0000}"/>
            </a:ext>
          </a:extLst>
        </xdr:cNvPr>
        <xdr:cNvSpPr>
          <a:spLocks noChangeShapeType="1"/>
        </xdr:cNvSpPr>
      </xdr:nvSpPr>
      <xdr:spPr bwMode="auto">
        <a:xfrm>
          <a:off x="5626100" y="914400"/>
          <a:ext cx="3429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2</xdr:col>
      <xdr:colOff>342900</xdr:colOff>
      <xdr:row>5</xdr:row>
      <xdr:rowOff>88900</xdr:rowOff>
    </xdr:from>
    <xdr:to>
      <xdr:col>7</xdr:col>
      <xdr:colOff>215900</xdr:colOff>
      <xdr:row>5</xdr:row>
      <xdr:rowOff>88900</xdr:rowOff>
    </xdr:to>
    <xdr:sp macro="" textlink="">
      <xdr:nvSpPr>
        <xdr:cNvPr id="3110" name="Line 2">
          <a:extLst>
            <a:ext uri="{FF2B5EF4-FFF2-40B4-BE49-F238E27FC236}">
              <a16:creationId xmlns:a16="http://schemas.microsoft.com/office/drawing/2014/main" id="{00000000-0008-0000-0700-0000260C0000}"/>
            </a:ext>
          </a:extLst>
        </xdr:cNvPr>
        <xdr:cNvSpPr>
          <a:spLocks noChangeShapeType="1"/>
        </xdr:cNvSpPr>
      </xdr:nvSpPr>
      <xdr:spPr bwMode="auto">
        <a:xfrm flipH="1">
          <a:off x="1689100" y="914400"/>
          <a:ext cx="3238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rtlCol="0"/>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419100</xdr:colOff>
      <xdr:row>4</xdr:row>
      <xdr:rowOff>88900</xdr:rowOff>
    </xdr:from>
    <xdr:to>
      <xdr:col>8</xdr:col>
      <xdr:colOff>273075</xdr:colOff>
      <xdr:row>18</xdr:row>
      <xdr:rowOff>114300</xdr:rowOff>
    </xdr:to>
    <xdr:sp macro="" textlink="">
      <xdr:nvSpPr>
        <xdr:cNvPr id="2051" name="Text Box 3">
          <a:extLst>
            <a:ext uri="{FF2B5EF4-FFF2-40B4-BE49-F238E27FC236}">
              <a16:creationId xmlns:a16="http://schemas.microsoft.com/office/drawing/2014/main" id="{00000000-0008-0000-0D00-000003080000}"/>
            </a:ext>
          </a:extLst>
        </xdr:cNvPr>
        <xdr:cNvSpPr txBox="1">
          <a:spLocks noChangeArrowheads="1"/>
        </xdr:cNvSpPr>
      </xdr:nvSpPr>
      <xdr:spPr bwMode="auto">
        <a:xfrm>
          <a:off x="4867275" y="723900"/>
          <a:ext cx="2914650" cy="24003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The MIRR calculation takes any negative cash flows (after utilization of reserves), zeroes them out and discounts them at the safe rate back to day one of the investment period. You can consider the safe rate to be the interest rate at which you can put money aside, in a secure and reasonably liquid form, so that it will grow to meet the amount needed to cover the negative cash flows.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MIRR takes positive cash flows and compounds them forward to the sale year, using the reinvestment rate (also known as the risk rate). The reinvestment rate is the rate at which you believe you could reinvest your positive cash flows.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ealdata.com/products" TargetMode="External"/><Relationship Id="rId2" Type="http://schemas.openxmlformats.org/officeDocument/2006/relationships/hyperlink" Target="http://realdata.com/newsletter" TargetMode="External"/><Relationship Id="rId1" Type="http://schemas.openxmlformats.org/officeDocument/2006/relationships/hyperlink" Target="http://realdata.com/" TargetMode="External"/><Relationship Id="rId5" Type="http://schemas.openxmlformats.org/officeDocument/2006/relationships/drawing" Target="../drawings/drawing1.xml"/><Relationship Id="rId4" Type="http://schemas.openxmlformats.org/officeDocument/2006/relationships/hyperlink" Target="http://realdata.com/learn"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www.realdata.com/" TargetMode="External"/><Relationship Id="rId1" Type="http://schemas.openxmlformats.org/officeDocument/2006/relationships/hyperlink" Target="http://www.realdata.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realdata.com/"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realdata.com/"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www.realdata.com/"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hyperlink" Target="http://www.realdata.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hyperlink" Target="http://www.realdata.com/" TargetMode="External"/><Relationship Id="rId1" Type="http://schemas.openxmlformats.org/officeDocument/2006/relationships/hyperlink" Target="http://www.realdata.com/"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www.realdata.com/" TargetMode="External"/><Relationship Id="rId1" Type="http://schemas.openxmlformats.org/officeDocument/2006/relationships/hyperlink" Target="http://realdata.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realdata.com/" TargetMode="External"/><Relationship Id="rId1" Type="http://schemas.openxmlformats.org/officeDocument/2006/relationships/hyperlink" Target="http://realdata.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realdata.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realdata.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www.realdata.com/" TargetMode="External"/><Relationship Id="rId1" Type="http://schemas.openxmlformats.org/officeDocument/2006/relationships/hyperlink" Target="http://realda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O36"/>
  <sheetViews>
    <sheetView showGridLines="0" showRowColHeaders="0" tabSelected="1" workbookViewId="0">
      <selection activeCell="B8" sqref="B8"/>
    </sheetView>
  </sheetViews>
  <sheetFormatPr baseColWidth="10" defaultColWidth="8.83203125" defaultRowHeight="13" x14ac:dyDescent="0.15"/>
  <cols>
    <col min="2" max="2" width="3.83203125" customWidth="1"/>
    <col min="3" max="3" width="5.33203125" customWidth="1"/>
    <col min="4" max="4" width="4.5" customWidth="1"/>
    <col min="6" max="6" width="4.6640625" customWidth="1"/>
    <col min="7" max="7" width="5.6640625" customWidth="1"/>
    <col min="9" max="9" width="5.5" customWidth="1"/>
    <col min="10" max="10" width="21.6640625" customWidth="1"/>
    <col min="11" max="11" width="3.1640625" customWidth="1"/>
    <col min="12" max="12" width="2.6640625" customWidth="1"/>
  </cols>
  <sheetData>
    <row r="3" spans="2:15" x14ac:dyDescent="0.15">
      <c r="B3" s="122"/>
      <c r="C3" s="123"/>
      <c r="D3" s="123"/>
      <c r="E3" s="123"/>
      <c r="F3" s="123"/>
      <c r="G3" s="123"/>
      <c r="H3" s="123"/>
      <c r="I3" s="123"/>
      <c r="J3" s="123"/>
      <c r="K3" s="124"/>
    </row>
    <row r="4" spans="2:15" ht="23" x14ac:dyDescent="0.25">
      <c r="B4" s="125" t="s">
        <v>141</v>
      </c>
      <c r="C4" s="126"/>
      <c r="D4" s="126"/>
      <c r="E4" s="126"/>
      <c r="F4" s="126"/>
      <c r="G4" s="126"/>
      <c r="H4" s="126"/>
      <c r="I4" s="126"/>
      <c r="J4" s="126"/>
      <c r="K4" s="127"/>
    </row>
    <row r="5" spans="2:15" ht="6" customHeight="1" x14ac:dyDescent="0.25">
      <c r="B5" s="125"/>
      <c r="C5" s="126"/>
      <c r="D5" s="126"/>
      <c r="E5" s="126"/>
      <c r="F5" s="126"/>
      <c r="G5" s="126"/>
      <c r="H5" s="126"/>
      <c r="I5" s="126"/>
      <c r="J5" s="126"/>
      <c r="K5" s="127"/>
    </row>
    <row r="6" spans="2:15" ht="15" customHeight="1" x14ac:dyDescent="0.2">
      <c r="B6" s="128" t="s">
        <v>143</v>
      </c>
      <c r="C6" s="126"/>
      <c r="D6" s="126"/>
      <c r="E6" s="126"/>
      <c r="F6" s="126"/>
      <c r="G6" s="126"/>
      <c r="H6" s="126"/>
      <c r="I6" s="126"/>
      <c r="J6" s="126"/>
      <c r="K6" s="127"/>
    </row>
    <row r="7" spans="2:15" x14ac:dyDescent="0.15">
      <c r="B7" s="129"/>
      <c r="C7" s="130"/>
      <c r="D7" s="130"/>
      <c r="E7" s="130"/>
      <c r="F7" s="130"/>
      <c r="G7" s="130"/>
      <c r="H7" s="130"/>
      <c r="I7" s="130"/>
      <c r="J7" s="130"/>
      <c r="K7" s="131"/>
      <c r="N7" s="15"/>
    </row>
    <row r="8" spans="2:15" ht="12.75" customHeight="1" x14ac:dyDescent="0.15">
      <c r="B8" s="132" t="s">
        <v>142</v>
      </c>
      <c r="C8" s="133"/>
      <c r="D8" s="133"/>
      <c r="E8" s="133"/>
      <c r="F8" s="133"/>
      <c r="G8" s="133"/>
      <c r="H8" s="133"/>
      <c r="I8" s="133"/>
      <c r="J8" s="133"/>
      <c r="K8" s="134"/>
      <c r="N8" s="15"/>
      <c r="O8" s="15"/>
    </row>
    <row r="9" spans="2:15" x14ac:dyDescent="0.15">
      <c r="B9" s="129"/>
      <c r="C9" s="130"/>
      <c r="D9" s="130"/>
      <c r="E9" s="130"/>
      <c r="F9" s="130"/>
      <c r="G9" s="130"/>
      <c r="H9" s="130"/>
      <c r="I9" s="130"/>
      <c r="J9" s="130"/>
      <c r="K9" s="131"/>
      <c r="N9" s="15"/>
    </row>
    <row r="10" spans="2:15" x14ac:dyDescent="0.15">
      <c r="B10" s="129"/>
      <c r="C10" s="130"/>
      <c r="D10" s="130"/>
      <c r="E10" s="130"/>
      <c r="F10" s="130"/>
      <c r="G10" s="130"/>
      <c r="H10" s="130"/>
      <c r="I10" s="130"/>
      <c r="J10" s="130"/>
      <c r="K10" s="131"/>
      <c r="N10" s="15"/>
    </row>
    <row r="11" spans="2:15" x14ac:dyDescent="0.15">
      <c r="B11" s="129"/>
      <c r="C11" s="130"/>
      <c r="D11" s="130"/>
      <c r="E11" s="130"/>
      <c r="F11" s="130"/>
      <c r="G11" s="130"/>
      <c r="H11" s="130"/>
      <c r="I11" s="130"/>
      <c r="J11" s="130"/>
      <c r="K11" s="131"/>
      <c r="N11" s="15"/>
    </row>
    <row r="12" spans="2:15" x14ac:dyDescent="0.15">
      <c r="B12" s="129"/>
      <c r="C12" s="130"/>
      <c r="D12" s="130"/>
      <c r="E12" s="165" t="s">
        <v>144</v>
      </c>
      <c r="F12" s="165"/>
      <c r="G12" s="165"/>
      <c r="H12" s="130"/>
      <c r="I12" s="165" t="s">
        <v>148</v>
      </c>
      <c r="J12" s="165"/>
      <c r="K12" s="131"/>
      <c r="N12" s="15"/>
    </row>
    <row r="13" spans="2:15" x14ac:dyDescent="0.15">
      <c r="B13" s="129"/>
      <c r="C13" s="130"/>
      <c r="D13" s="130"/>
      <c r="E13" s="165" t="s">
        <v>9</v>
      </c>
      <c r="F13" s="165"/>
      <c r="G13" s="165"/>
      <c r="H13" s="165"/>
      <c r="I13" s="165" t="s">
        <v>106</v>
      </c>
      <c r="J13" s="165"/>
      <c r="K13" s="131"/>
      <c r="N13" s="15"/>
      <c r="O13" s="15"/>
    </row>
    <row r="14" spans="2:15" x14ac:dyDescent="0.15">
      <c r="B14" s="129"/>
      <c r="C14" s="130"/>
      <c r="D14" s="130"/>
      <c r="E14" s="165" t="s">
        <v>145</v>
      </c>
      <c r="F14" s="166"/>
      <c r="G14" s="166"/>
      <c r="H14" s="130"/>
      <c r="I14" s="165" t="s">
        <v>118</v>
      </c>
      <c r="J14" s="165"/>
      <c r="K14" s="131"/>
      <c r="N14" s="15"/>
    </row>
    <row r="15" spans="2:15" x14ac:dyDescent="0.15">
      <c r="B15" s="129"/>
      <c r="C15" s="130"/>
      <c r="D15" s="130"/>
      <c r="E15" s="165" t="s">
        <v>146</v>
      </c>
      <c r="F15" s="165"/>
      <c r="G15" s="165"/>
      <c r="H15" s="130"/>
      <c r="I15" s="165" t="s">
        <v>124</v>
      </c>
      <c r="J15" s="165"/>
      <c r="K15" s="131"/>
      <c r="N15" s="15"/>
    </row>
    <row r="16" spans="2:15" x14ac:dyDescent="0.15">
      <c r="B16" s="129"/>
      <c r="C16" s="130"/>
      <c r="D16" s="130"/>
      <c r="E16" s="135" t="s">
        <v>72</v>
      </c>
      <c r="F16" s="135"/>
      <c r="G16" s="130"/>
      <c r="H16" s="130"/>
      <c r="I16" s="165" t="s">
        <v>131</v>
      </c>
      <c r="J16" s="165"/>
      <c r="K16" s="131"/>
      <c r="N16" s="15"/>
    </row>
    <row r="17" spans="2:15" x14ac:dyDescent="0.15">
      <c r="B17" s="129"/>
      <c r="C17" s="130"/>
      <c r="D17" s="130"/>
      <c r="E17" s="165" t="s">
        <v>84</v>
      </c>
      <c r="F17" s="165"/>
      <c r="G17" s="130"/>
      <c r="H17" s="130"/>
      <c r="I17" s="165" t="s">
        <v>132</v>
      </c>
      <c r="J17" s="165"/>
      <c r="K17" s="131"/>
      <c r="N17" s="15"/>
    </row>
    <row r="18" spans="2:15" x14ac:dyDescent="0.15">
      <c r="B18" s="129"/>
      <c r="C18" s="130"/>
      <c r="D18" s="130"/>
      <c r="E18" s="165" t="s">
        <v>147</v>
      </c>
      <c r="F18" s="170"/>
      <c r="G18" s="170"/>
      <c r="H18" s="135"/>
      <c r="I18" s="130"/>
      <c r="J18" s="135"/>
      <c r="K18" s="131"/>
      <c r="N18" s="15"/>
    </row>
    <row r="19" spans="2:15" x14ac:dyDescent="0.15">
      <c r="B19" s="129"/>
      <c r="C19" s="130"/>
      <c r="D19" s="130"/>
      <c r="E19" s="130"/>
      <c r="F19" s="135"/>
      <c r="G19" s="135"/>
      <c r="H19" s="130"/>
      <c r="I19" s="130"/>
      <c r="J19" s="135"/>
      <c r="K19" s="131"/>
      <c r="N19" s="15"/>
    </row>
    <row r="20" spans="2:15" x14ac:dyDescent="0.15">
      <c r="B20" s="129"/>
      <c r="C20" s="130"/>
      <c r="D20" s="130"/>
      <c r="E20" s="130"/>
      <c r="F20" s="130"/>
      <c r="G20" s="130"/>
      <c r="H20" s="130"/>
      <c r="I20" s="130"/>
      <c r="J20" s="130"/>
      <c r="K20" s="131"/>
      <c r="N20" s="15"/>
      <c r="O20" s="15"/>
    </row>
    <row r="21" spans="2:15" ht="14" x14ac:dyDescent="0.15">
      <c r="B21" s="129"/>
      <c r="C21" s="130"/>
      <c r="D21" s="136" t="s">
        <v>136</v>
      </c>
      <c r="E21" s="130"/>
      <c r="F21" s="130"/>
      <c r="G21" s="130"/>
      <c r="H21" s="130"/>
      <c r="I21" s="130"/>
      <c r="J21" s="130"/>
      <c r="K21" s="131"/>
    </row>
    <row r="22" spans="2:15" ht="6" customHeight="1" x14ac:dyDescent="0.15">
      <c r="B22" s="129"/>
      <c r="C22" s="130"/>
      <c r="D22" s="130"/>
      <c r="E22" s="130"/>
      <c r="F22" s="130"/>
      <c r="G22" s="130"/>
      <c r="H22" s="130"/>
      <c r="I22" s="130"/>
      <c r="J22" s="130"/>
      <c r="K22" s="131"/>
    </row>
    <row r="23" spans="2:15" x14ac:dyDescent="0.15">
      <c r="B23" s="129"/>
      <c r="C23" s="130"/>
      <c r="D23" s="130"/>
      <c r="E23" s="169" t="s">
        <v>137</v>
      </c>
      <c r="F23" s="169"/>
      <c r="G23" s="169"/>
      <c r="H23" s="167" t="s">
        <v>138</v>
      </c>
      <c r="I23" s="168"/>
      <c r="J23" s="168"/>
      <c r="K23" s="131"/>
    </row>
    <row r="24" spans="2:15" ht="12.75" customHeight="1" x14ac:dyDescent="0.15">
      <c r="B24" s="129"/>
      <c r="C24" s="130"/>
      <c r="D24" s="130"/>
      <c r="E24" s="167" t="s">
        <v>139</v>
      </c>
      <c r="F24" s="168"/>
      <c r="G24" s="130"/>
      <c r="H24" s="167" t="s">
        <v>140</v>
      </c>
      <c r="I24" s="167"/>
      <c r="J24" s="167"/>
      <c r="K24" s="131"/>
    </row>
    <row r="25" spans="2:15" x14ac:dyDescent="0.15">
      <c r="B25" s="129"/>
      <c r="C25" s="130"/>
      <c r="D25" s="130"/>
      <c r="E25" s="130"/>
      <c r="F25" s="130"/>
      <c r="G25" s="130"/>
      <c r="H25" s="130"/>
      <c r="I25" s="130"/>
      <c r="J25" s="130"/>
      <c r="K25" s="131"/>
    </row>
    <row r="26" spans="2:15" x14ac:dyDescent="0.15">
      <c r="B26" s="129"/>
      <c r="C26" s="130"/>
      <c r="D26" s="130"/>
      <c r="E26" s="130"/>
      <c r="F26" s="130"/>
      <c r="G26" s="130"/>
      <c r="H26" s="130"/>
      <c r="I26" s="130"/>
      <c r="J26" s="130"/>
      <c r="K26" s="131"/>
    </row>
    <row r="27" spans="2:15" x14ac:dyDescent="0.15">
      <c r="B27" s="129"/>
      <c r="C27" s="130"/>
      <c r="D27" s="130"/>
      <c r="E27" s="130"/>
      <c r="F27" s="130"/>
      <c r="G27" s="130"/>
      <c r="H27" s="130"/>
      <c r="I27" s="130"/>
      <c r="J27" s="130"/>
      <c r="K27" s="131"/>
    </row>
    <row r="28" spans="2:15" ht="12.75" customHeight="1" x14ac:dyDescent="0.15">
      <c r="B28" s="129"/>
      <c r="C28" s="130"/>
      <c r="D28" s="130"/>
      <c r="E28" s="130"/>
      <c r="F28" s="130"/>
      <c r="G28" s="130"/>
      <c r="H28" s="130"/>
      <c r="I28" s="130"/>
      <c r="J28" s="130"/>
      <c r="K28" s="131"/>
    </row>
    <row r="29" spans="2:15" x14ac:dyDescent="0.15">
      <c r="B29" s="129"/>
      <c r="C29" s="130"/>
      <c r="D29" s="130"/>
      <c r="E29" s="130"/>
      <c r="F29" s="130"/>
      <c r="G29" s="130"/>
      <c r="H29" s="130"/>
      <c r="I29" s="130"/>
      <c r="J29" s="130"/>
      <c r="K29" s="131"/>
    </row>
    <row r="30" spans="2:15" x14ac:dyDescent="0.15">
      <c r="B30" s="129"/>
      <c r="C30" s="130"/>
      <c r="D30" s="130"/>
      <c r="E30" s="130"/>
      <c r="F30" s="130"/>
      <c r="G30" s="130"/>
      <c r="H30" s="130"/>
      <c r="I30" s="130"/>
      <c r="J30" s="130"/>
      <c r="K30" s="131"/>
    </row>
    <row r="31" spans="2:15" x14ac:dyDescent="0.15">
      <c r="B31" s="129"/>
      <c r="C31" s="130"/>
      <c r="D31" s="130"/>
      <c r="E31" s="130"/>
      <c r="F31" s="130"/>
      <c r="G31" s="130"/>
      <c r="H31" s="130"/>
      <c r="I31" s="130"/>
      <c r="J31" s="130"/>
      <c r="K31" s="131"/>
    </row>
    <row r="32" spans="2:15" x14ac:dyDescent="0.15">
      <c r="B32" s="129"/>
      <c r="C32" s="130"/>
      <c r="D32" s="130"/>
      <c r="E32" s="130"/>
      <c r="F32" s="130"/>
      <c r="G32" s="130"/>
      <c r="H32" s="130"/>
      <c r="I32" s="130"/>
      <c r="J32" s="130"/>
      <c r="K32" s="131"/>
    </row>
    <row r="33" spans="2:11" x14ac:dyDescent="0.15">
      <c r="B33" s="129"/>
      <c r="C33" s="130"/>
      <c r="D33" s="130"/>
      <c r="E33" s="130"/>
      <c r="F33" s="130"/>
      <c r="G33" s="130"/>
      <c r="H33" s="130"/>
      <c r="I33" s="130"/>
      <c r="J33" s="130"/>
      <c r="K33" s="131"/>
    </row>
    <row r="34" spans="2:11" x14ac:dyDescent="0.15">
      <c r="B34" s="137"/>
      <c r="C34" s="138"/>
      <c r="D34" s="138"/>
      <c r="E34" s="138"/>
      <c r="F34" s="138"/>
      <c r="G34" s="138"/>
      <c r="H34" s="141"/>
      <c r="I34" s="138"/>
      <c r="J34" s="138"/>
      <c r="K34" s="139"/>
    </row>
    <row r="36" spans="2:11" x14ac:dyDescent="0.15">
      <c r="B36" s="140" t="s">
        <v>154</v>
      </c>
      <c r="C36" s="140"/>
      <c r="D36" s="140"/>
      <c r="E36" s="140"/>
      <c r="F36" s="140"/>
      <c r="G36" s="140"/>
      <c r="H36" s="140"/>
      <c r="I36" s="140"/>
      <c r="J36" s="140"/>
      <c r="K36" s="140"/>
    </row>
  </sheetData>
  <sheetProtection sheet="1" objects="1" scenarios="1"/>
  <mergeCells count="16">
    <mergeCell ref="E24:F24"/>
    <mergeCell ref="H24:J24"/>
    <mergeCell ref="E23:G23"/>
    <mergeCell ref="I16:J16"/>
    <mergeCell ref="I17:J17"/>
    <mergeCell ref="H23:J23"/>
    <mergeCell ref="E18:G18"/>
    <mergeCell ref="E17:F17"/>
    <mergeCell ref="E12:G12"/>
    <mergeCell ref="E13:H13"/>
    <mergeCell ref="E15:G15"/>
    <mergeCell ref="E14:G14"/>
    <mergeCell ref="I12:J12"/>
    <mergeCell ref="I13:J13"/>
    <mergeCell ref="I14:J14"/>
    <mergeCell ref="I15:J15"/>
  </mergeCells>
  <phoneticPr fontId="19" type="noConversion"/>
  <hyperlinks>
    <hyperlink ref="E23" r:id="rId1" xr:uid="{00000000-0004-0000-0000-000000000000}"/>
    <hyperlink ref="E24" r:id="rId2" xr:uid="{00000000-0004-0000-0000-000001000000}"/>
    <hyperlink ref="H23" r:id="rId3" xr:uid="{00000000-0004-0000-0000-000002000000}"/>
    <hyperlink ref="H24:J24" r:id="rId4" display="Resources &amp; educational articles" xr:uid="{00000000-0004-0000-0000-000003000000}"/>
    <hyperlink ref="E12" location="'Monthly Payment'!D5" display="Monthly Payment" xr:uid="{00000000-0004-0000-0000-000004000000}"/>
    <hyperlink ref="E13" location="'Amortization Schedule'!E4" display="Amortization Schedule" xr:uid="{00000000-0004-0000-0000-000005000000}"/>
    <hyperlink ref="E14" location="'Loan Spread'!E6" display="Loan Spread" xr:uid="{00000000-0004-0000-0000-000006000000}"/>
    <hyperlink ref="E15" location="'Loan Comparison'!D6" display="Loan Comparison" xr:uid="{00000000-0004-0000-0000-000007000000}"/>
    <hyperlink ref="E16" location="'Cash Flow'!B4" display="Cash Flow" xr:uid="{00000000-0004-0000-0000-000008000000}"/>
    <hyperlink ref="E17" location="Depreciation!E5" display="Depreciation" xr:uid="{00000000-0004-0000-0000-000009000000}"/>
    <hyperlink ref="E18" location="'Discounted Cash Flows'!D7" display="Discounted Cash Flows" xr:uid="{00000000-0004-0000-0000-00000A000000}"/>
    <hyperlink ref="I12" location="'Maximum Loan'!D5" display="Maximum Loan" xr:uid="{00000000-0004-0000-0000-00000B000000}"/>
    <hyperlink ref="I13" location="'Six Functions'!D5" display="Six Functions of $1" xr:uid="{00000000-0004-0000-0000-00000C000000}"/>
    <hyperlink ref="I14" location="'Mortgage Qualifier'!D6" display="Mortgage Qualifier" xr:uid="{00000000-0004-0000-0000-00000D000000}"/>
    <hyperlink ref="I15" location="Refinancing!D6" display="Refinancing" xr:uid="{00000000-0004-0000-0000-00000E000000}"/>
    <hyperlink ref="I16" location="'Income Multipliers'!D6" display="Income Multipliers" xr:uid="{00000000-0004-0000-0000-00000F000000}"/>
    <hyperlink ref="I17" location="Underwriting!D6" display="Underwriting" xr:uid="{00000000-0004-0000-0000-000010000000}"/>
    <hyperlink ref="E13:H13" location="'Annual Property Operating Data'!B4" display="Annual Property Operating Data" xr:uid="{00000000-0004-0000-0000-000011000000}"/>
    <hyperlink ref="E14:F14" location="'Loan Spread'!F6" display="Loan Spread" xr:uid="{00000000-0004-0000-0000-000012000000}"/>
    <hyperlink ref="I13:J13" location="'Net Present Value'!C4" display="Net Present Value" xr:uid="{00000000-0004-0000-0000-000013000000}"/>
    <hyperlink ref="E12:G12" location="'Compound Interest'!A7" display="Compound Interest" xr:uid="{00000000-0004-0000-0000-000014000000}"/>
    <hyperlink ref="E14:G14" location="'Discounted Cash Flow'!D5" display="Discounted Cash Flow" xr:uid="{00000000-0004-0000-0000-000015000000}"/>
    <hyperlink ref="E15:G15" location="'Amortization Table'!B5" display="Amortization Table" xr:uid="{00000000-0004-0000-0000-000016000000}"/>
    <hyperlink ref="E17:F17" location="'Sale Proceeds'!B4" display="Sale Proceeds" xr:uid="{00000000-0004-0000-0000-000017000000}"/>
    <hyperlink ref="E18:G18" location="'Value of a Lease'!C4" display="Value of a Lease" xr:uid="{00000000-0004-0000-0000-000018000000}"/>
    <hyperlink ref="I12:J12" location="'4 Annuity Functions'!A7" display="4 Annuity Functions" xr:uid="{00000000-0004-0000-0000-000019000000}"/>
    <hyperlink ref="I14:J14" location="'Taxable Income'!B4" display="Taxable Income" xr:uid="{00000000-0004-0000-0000-00001A000000}"/>
    <hyperlink ref="I15:J15" location="'Adjusted Basis'!B4" display="Adjusted Basis" xr:uid="{00000000-0004-0000-0000-00001B000000}"/>
    <hyperlink ref="I16:J16" location="'Internal Rate of Return'!C5" display="Internal Rate of Return" xr:uid="{00000000-0004-0000-0000-00001C000000}"/>
    <hyperlink ref="I17:J17" location="MIRR!C5" display="Modified Internal Rate of Return" xr:uid="{00000000-0004-0000-0000-00001D000000}"/>
  </hyperlinks>
  <pageMargins left="0.7" right="0.7" top="0.75" bottom="0.75" header="0.5" footer="0.5"/>
  <pageSetup orientation="portrait" horizontalDpi="4294967294" verticalDpi="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2:F21"/>
  <sheetViews>
    <sheetView showGridLines="0" workbookViewId="0">
      <selection activeCell="C4" sqref="C4"/>
    </sheetView>
  </sheetViews>
  <sheetFormatPr baseColWidth="10" defaultColWidth="8.83203125" defaultRowHeight="13" x14ac:dyDescent="0.15"/>
  <cols>
    <col min="2" max="2" width="17" customWidth="1"/>
    <col min="3" max="3" width="15.5" customWidth="1"/>
  </cols>
  <sheetData>
    <row r="2" spans="2:3" x14ac:dyDescent="0.15">
      <c r="B2" s="105" t="s">
        <v>106</v>
      </c>
      <c r="C2" s="104"/>
    </row>
    <row r="4" spans="2:3" ht="14.25" customHeight="1" x14ac:dyDescent="0.15">
      <c r="B4" t="s">
        <v>92</v>
      </c>
      <c r="C4" s="158">
        <v>0</v>
      </c>
    </row>
    <row r="5" spans="2:3" ht="14.25" customHeight="1" x14ac:dyDescent="0.15">
      <c r="C5" s="113"/>
    </row>
    <row r="6" spans="2:3" ht="14.25" customHeight="1" x14ac:dyDescent="0.15">
      <c r="B6" t="s">
        <v>107</v>
      </c>
      <c r="C6" s="157">
        <v>0</v>
      </c>
    </row>
    <row r="7" spans="2:3" ht="14.25" customHeight="1" x14ac:dyDescent="0.15">
      <c r="B7" t="s">
        <v>108</v>
      </c>
      <c r="C7" s="157">
        <v>0</v>
      </c>
    </row>
    <row r="8" spans="2:3" ht="14.25" customHeight="1" x14ac:dyDescent="0.15">
      <c r="B8" t="s">
        <v>109</v>
      </c>
      <c r="C8" s="157">
        <v>0</v>
      </c>
    </row>
    <row r="9" spans="2:3" ht="14.25" customHeight="1" x14ac:dyDescent="0.15">
      <c r="B9" t="s">
        <v>110</v>
      </c>
      <c r="C9" s="157">
        <v>0</v>
      </c>
    </row>
    <row r="10" spans="2:3" ht="14.25" customHeight="1" x14ac:dyDescent="0.15">
      <c r="B10" t="s">
        <v>111</v>
      </c>
      <c r="C10" s="157">
        <v>0</v>
      </c>
    </row>
    <row r="11" spans="2:3" ht="14.25" customHeight="1" x14ac:dyDescent="0.15">
      <c r="B11" t="s">
        <v>112</v>
      </c>
      <c r="C11" s="157">
        <v>0</v>
      </c>
    </row>
    <row r="12" spans="2:3" ht="14.25" customHeight="1" x14ac:dyDescent="0.15">
      <c r="B12" t="s">
        <v>113</v>
      </c>
      <c r="C12" s="157">
        <v>0</v>
      </c>
    </row>
    <row r="13" spans="2:3" ht="14.25" customHeight="1" x14ac:dyDescent="0.15">
      <c r="B13" t="s">
        <v>114</v>
      </c>
      <c r="C13" s="157">
        <v>0</v>
      </c>
    </row>
    <row r="14" spans="2:3" ht="14.25" customHeight="1" x14ac:dyDescent="0.15">
      <c r="B14" t="s">
        <v>115</v>
      </c>
      <c r="C14" s="157">
        <v>0</v>
      </c>
    </row>
    <row r="15" spans="2:3" ht="14.25" customHeight="1" x14ac:dyDescent="0.15">
      <c r="B15" t="s">
        <v>116</v>
      </c>
      <c r="C15" s="157">
        <v>0</v>
      </c>
    </row>
    <row r="16" spans="2:3" ht="14.25" customHeight="1" x14ac:dyDescent="0.15">
      <c r="B16" t="s">
        <v>117</v>
      </c>
      <c r="C16" s="157">
        <v>0</v>
      </c>
    </row>
    <row r="17" spans="2:6" ht="14.25" customHeight="1" x14ac:dyDescent="0.15">
      <c r="C17" s="114"/>
    </row>
    <row r="18" spans="2:6" ht="14.25" customHeight="1" x14ac:dyDescent="0.15">
      <c r="B18" s="63" t="s">
        <v>106</v>
      </c>
      <c r="C18" s="115">
        <f>NPV(C4,C7:C16)-C6</f>
        <v>0</v>
      </c>
    </row>
    <row r="21" spans="2:6" x14ac:dyDescent="0.15">
      <c r="B21" s="116" t="s">
        <v>149</v>
      </c>
      <c r="C21" s="13"/>
      <c r="D21" s="13"/>
      <c r="E21" s="13"/>
      <c r="F21" s="13"/>
    </row>
  </sheetData>
  <sheetProtection sheet="1" objects="1" scenarios="1"/>
  <phoneticPr fontId="0" type="noConversion"/>
  <hyperlinks>
    <hyperlink ref="B21" r:id="rId1" display="© 1982-2003, RealData® Inc. All Rights Reserved" xr:uid="{00000000-0004-0000-0900-000000000000}"/>
    <hyperlink ref="B21:F21" r:id="rId2" display="© 1982-2003, RealData® Inc. All Rights Reserved" xr:uid="{00000000-0004-0000-0900-000001000000}"/>
  </hyperlinks>
  <pageMargins left="0.7" right="0.7" top="0.75" bottom="0.75" header="0.5" footer="0.5"/>
  <pageSetup orientation="portrait"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B2:D38"/>
  <sheetViews>
    <sheetView showGridLines="0" workbookViewId="0">
      <selection activeCell="B4" sqref="B4"/>
    </sheetView>
  </sheetViews>
  <sheetFormatPr baseColWidth="10" defaultColWidth="8.83203125" defaultRowHeight="13" x14ac:dyDescent="0.15"/>
  <cols>
    <col min="2" max="2" width="24.83203125" customWidth="1"/>
    <col min="3" max="3" width="12.83203125" customWidth="1"/>
    <col min="4" max="4" width="15.1640625" customWidth="1"/>
  </cols>
  <sheetData>
    <row r="2" spans="2:4" ht="21.75" customHeight="1" x14ac:dyDescent="0.15">
      <c r="B2" s="91" t="s">
        <v>118</v>
      </c>
      <c r="C2" s="92"/>
      <c r="D2" s="93"/>
    </row>
    <row r="3" spans="2:4" x14ac:dyDescent="0.15">
      <c r="B3" s="20"/>
      <c r="C3" s="21"/>
      <c r="D3" s="22"/>
    </row>
    <row r="4" spans="2:4" x14ac:dyDescent="0.15">
      <c r="B4" s="156" t="s">
        <v>10</v>
      </c>
      <c r="C4" s="23"/>
      <c r="D4" s="24"/>
    </row>
    <row r="5" spans="2:4" x14ac:dyDescent="0.15">
      <c r="B5" s="156" t="s">
        <v>11</v>
      </c>
      <c r="C5" s="23"/>
      <c r="D5" s="24"/>
    </row>
    <row r="6" spans="2:4" x14ac:dyDescent="0.15">
      <c r="B6" s="20"/>
      <c r="C6" s="21"/>
      <c r="D6" s="22"/>
    </row>
    <row r="7" spans="2:4" x14ac:dyDescent="0.15">
      <c r="B7" s="25" t="s">
        <v>12</v>
      </c>
      <c r="C7" s="94">
        <f ca="1">TODAY()</f>
        <v>45532</v>
      </c>
      <c r="D7" s="24"/>
    </row>
    <row r="8" spans="2:4" x14ac:dyDescent="0.15">
      <c r="B8" s="25" t="s">
        <v>13</v>
      </c>
      <c r="C8" s="26"/>
      <c r="D8" s="27"/>
    </row>
    <row r="9" spans="2:4" x14ac:dyDescent="0.15">
      <c r="B9" s="29"/>
      <c r="C9" s="95"/>
      <c r="D9" s="96"/>
    </row>
    <row r="10" spans="2:4" x14ac:dyDescent="0.15">
      <c r="B10" s="32" t="s">
        <v>14</v>
      </c>
      <c r="C10" s="33"/>
      <c r="D10" s="34"/>
    </row>
    <row r="11" spans="2:4" x14ac:dyDescent="0.15">
      <c r="B11" s="37" t="s">
        <v>16</v>
      </c>
      <c r="C11" s="38"/>
      <c r="D11" s="154">
        <v>0</v>
      </c>
    </row>
    <row r="12" spans="2:4" x14ac:dyDescent="0.15">
      <c r="B12" s="40" t="s">
        <v>17</v>
      </c>
      <c r="C12" s="41"/>
      <c r="D12" s="154">
        <v>0</v>
      </c>
    </row>
    <row r="13" spans="2:4" x14ac:dyDescent="0.15">
      <c r="B13" s="43" t="s">
        <v>18</v>
      </c>
      <c r="C13" s="44"/>
      <c r="D13" s="45">
        <f>SUM(D11:D12)</f>
        <v>0</v>
      </c>
    </row>
    <row r="14" spans="2:4" x14ac:dyDescent="0.15">
      <c r="B14" s="47"/>
      <c r="C14" s="48"/>
      <c r="D14" s="49"/>
    </row>
    <row r="15" spans="2:4" x14ac:dyDescent="0.15">
      <c r="B15" s="51" t="s">
        <v>19</v>
      </c>
      <c r="C15" s="52"/>
      <c r="D15" s="155">
        <v>0</v>
      </c>
    </row>
    <row r="16" spans="2:4" x14ac:dyDescent="0.15">
      <c r="B16" s="47"/>
      <c r="C16" s="48"/>
      <c r="D16" s="49"/>
    </row>
    <row r="17" spans="2:4" x14ac:dyDescent="0.15">
      <c r="B17" s="43" t="s">
        <v>20</v>
      </c>
      <c r="C17" s="44"/>
      <c r="D17" s="45">
        <f>D13-D15</f>
        <v>0</v>
      </c>
    </row>
    <row r="18" spans="2:4" x14ac:dyDescent="0.15">
      <c r="B18" s="47"/>
      <c r="C18" s="48"/>
      <c r="D18" s="49"/>
    </row>
    <row r="19" spans="2:4" x14ac:dyDescent="0.15">
      <c r="B19" s="55" t="s">
        <v>21</v>
      </c>
      <c r="C19" s="56"/>
      <c r="D19" s="57"/>
    </row>
    <row r="20" spans="2:4" x14ac:dyDescent="0.15">
      <c r="B20" s="40" t="s">
        <v>24</v>
      </c>
      <c r="C20" s="41"/>
      <c r="D20" s="154">
        <v>0</v>
      </c>
    </row>
    <row r="21" spans="2:4" x14ac:dyDescent="0.15">
      <c r="B21" s="40" t="s">
        <v>73</v>
      </c>
      <c r="C21" s="41"/>
      <c r="D21" s="154">
        <v>0</v>
      </c>
    </row>
    <row r="22" spans="2:4" x14ac:dyDescent="0.15">
      <c r="B22" s="40" t="s">
        <v>31</v>
      </c>
      <c r="C22" s="41"/>
      <c r="D22" s="154">
        <v>0</v>
      </c>
    </row>
    <row r="23" spans="2:4" x14ac:dyDescent="0.15">
      <c r="B23" s="40" t="s">
        <v>74</v>
      </c>
      <c r="C23" s="41"/>
      <c r="D23" s="154">
        <v>0</v>
      </c>
    </row>
    <row r="24" spans="2:4" x14ac:dyDescent="0.15">
      <c r="B24" s="40" t="s">
        <v>40</v>
      </c>
      <c r="C24" s="41"/>
      <c r="D24" s="154">
        <v>0</v>
      </c>
    </row>
    <row r="25" spans="2:4" x14ac:dyDescent="0.15">
      <c r="B25" s="40" t="s">
        <v>75</v>
      </c>
      <c r="C25" s="41"/>
      <c r="D25" s="154">
        <v>0</v>
      </c>
    </row>
    <row r="26" spans="2:4" x14ac:dyDescent="0.15">
      <c r="B26" s="43" t="s">
        <v>46</v>
      </c>
      <c r="C26" s="44"/>
      <c r="D26" s="45">
        <f>SUM(D20:D22)+SUM(D23:D23)+SUM(D24:D25)</f>
        <v>0</v>
      </c>
    </row>
    <row r="27" spans="2:4" x14ac:dyDescent="0.15">
      <c r="B27" s="47"/>
      <c r="C27" s="48"/>
      <c r="D27" s="49"/>
    </row>
    <row r="28" spans="2:4" x14ac:dyDescent="0.15">
      <c r="B28" s="43" t="s">
        <v>47</v>
      </c>
      <c r="C28" s="44"/>
      <c r="D28" s="45">
        <f>D17-D26</f>
        <v>0</v>
      </c>
    </row>
    <row r="29" spans="2:4" x14ac:dyDescent="0.15">
      <c r="B29" s="97"/>
      <c r="D29" s="22"/>
    </row>
    <row r="30" spans="2:4" x14ac:dyDescent="0.15">
      <c r="B30" s="97" t="s">
        <v>119</v>
      </c>
      <c r="D30" s="154">
        <v>0</v>
      </c>
    </row>
    <row r="31" spans="2:4" x14ac:dyDescent="0.15">
      <c r="B31" s="97" t="s">
        <v>120</v>
      </c>
      <c r="D31" s="154">
        <v>0</v>
      </c>
    </row>
    <row r="32" spans="2:4" x14ac:dyDescent="0.15">
      <c r="B32" s="97" t="s">
        <v>121</v>
      </c>
      <c r="D32" s="154">
        <v>0</v>
      </c>
    </row>
    <row r="33" spans="2:4" x14ac:dyDescent="0.15">
      <c r="B33" s="97" t="s">
        <v>122</v>
      </c>
      <c r="D33" s="154">
        <v>0</v>
      </c>
    </row>
    <row r="34" spans="2:4" x14ac:dyDescent="0.15">
      <c r="B34" s="97" t="s">
        <v>80</v>
      </c>
      <c r="D34" s="154">
        <v>0</v>
      </c>
    </row>
    <row r="35" spans="2:4" x14ac:dyDescent="0.15">
      <c r="B35" s="97"/>
      <c r="D35" s="22"/>
    </row>
    <row r="36" spans="2:4" x14ac:dyDescent="0.15">
      <c r="B36" s="98" t="s">
        <v>123</v>
      </c>
      <c r="C36" s="95"/>
      <c r="D36" s="45">
        <f>D28-D30-D31-D32-D33+D34</f>
        <v>0</v>
      </c>
    </row>
    <row r="38" spans="2:4" x14ac:dyDescent="0.15">
      <c r="B38" s="13" t="s">
        <v>152</v>
      </c>
      <c r="C38" s="13"/>
      <c r="D38" s="13"/>
    </row>
  </sheetData>
  <sheetProtection sheet="1" objects="1" scenarios="1"/>
  <phoneticPr fontId="0" type="noConversion"/>
  <hyperlinks>
    <hyperlink ref="B38:D38" r:id="rId1" display="Copyright 2003 RealData® Inc., Southport, CT All Rights Reserved" xr:uid="{00000000-0004-0000-0A00-000000000000}"/>
  </hyperlinks>
  <pageMargins left="0.7" right="0.7" top="0.75" bottom="0.75" header="0.5" footer="0.5"/>
  <pageSetup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2:D17"/>
  <sheetViews>
    <sheetView showGridLines="0" workbookViewId="0">
      <selection activeCell="B4" sqref="B4"/>
    </sheetView>
  </sheetViews>
  <sheetFormatPr baseColWidth="10" defaultColWidth="8.83203125" defaultRowHeight="13" x14ac:dyDescent="0.15"/>
  <cols>
    <col min="2" max="2" width="38.5" customWidth="1"/>
    <col min="3" max="3" width="12.1640625" customWidth="1"/>
    <col min="4" max="4" width="16.5" customWidth="1"/>
  </cols>
  <sheetData>
    <row r="2" spans="2:4" ht="21.75" customHeight="1" x14ac:dyDescent="0.15">
      <c r="B2" s="91" t="s">
        <v>124</v>
      </c>
      <c r="C2" s="92"/>
      <c r="D2" s="93"/>
    </row>
    <row r="3" spans="2:4" x14ac:dyDescent="0.15">
      <c r="B3" s="20"/>
      <c r="C3" s="21"/>
      <c r="D3" s="22"/>
    </row>
    <row r="4" spans="2:4" x14ac:dyDescent="0.15">
      <c r="B4" s="156" t="s">
        <v>10</v>
      </c>
      <c r="C4" s="23"/>
      <c r="D4" s="24"/>
    </row>
    <row r="5" spans="2:4" x14ac:dyDescent="0.15">
      <c r="B5" s="156" t="s">
        <v>11</v>
      </c>
      <c r="C5" s="23"/>
      <c r="D5" s="24"/>
    </row>
    <row r="6" spans="2:4" x14ac:dyDescent="0.15">
      <c r="B6" s="20"/>
      <c r="C6" s="21"/>
      <c r="D6" s="22"/>
    </row>
    <row r="7" spans="2:4" x14ac:dyDescent="0.15">
      <c r="B7" s="25" t="s">
        <v>12</v>
      </c>
      <c r="C7" s="94">
        <f ca="1">TODAY()</f>
        <v>45532</v>
      </c>
      <c r="D7" s="22"/>
    </row>
    <row r="8" spans="2:4" x14ac:dyDescent="0.15">
      <c r="B8" s="25" t="s">
        <v>13</v>
      </c>
      <c r="C8" s="26"/>
      <c r="D8" s="27"/>
    </row>
    <row r="9" spans="2:4" x14ac:dyDescent="0.15">
      <c r="B9" s="29"/>
      <c r="C9" s="95"/>
      <c r="D9" s="96"/>
    </row>
    <row r="10" spans="2:4" x14ac:dyDescent="0.15">
      <c r="B10" s="32" t="s">
        <v>125</v>
      </c>
      <c r="C10" s="56"/>
      <c r="D10" s="154">
        <v>0</v>
      </c>
    </row>
    <row r="11" spans="2:4" x14ac:dyDescent="0.15">
      <c r="B11" s="40" t="s">
        <v>126</v>
      </c>
      <c r="C11" s="41"/>
      <c r="D11" s="154">
        <v>0</v>
      </c>
    </row>
    <row r="12" spans="2:4" x14ac:dyDescent="0.15">
      <c r="B12" s="40" t="s">
        <v>127</v>
      </c>
      <c r="C12" s="41"/>
      <c r="D12" s="154">
        <v>0</v>
      </c>
    </row>
    <row r="13" spans="2:4" x14ac:dyDescent="0.15">
      <c r="B13" s="40" t="s">
        <v>128</v>
      </c>
      <c r="C13" s="41"/>
      <c r="D13" s="154">
        <v>0</v>
      </c>
    </row>
    <row r="14" spans="2:4" x14ac:dyDescent="0.15">
      <c r="B14" s="40" t="s">
        <v>129</v>
      </c>
      <c r="C14" s="41"/>
      <c r="D14" s="154">
        <v>0</v>
      </c>
    </row>
    <row r="15" spans="2:4" x14ac:dyDescent="0.15">
      <c r="B15" s="43" t="s">
        <v>130</v>
      </c>
      <c r="C15" s="44"/>
      <c r="D15" s="45">
        <f>D10+D11+D12-D13-D14</f>
        <v>0</v>
      </c>
    </row>
    <row r="17" spans="2:4" x14ac:dyDescent="0.15">
      <c r="B17" s="13" t="s">
        <v>149</v>
      </c>
      <c r="C17" s="13"/>
      <c r="D17" s="104"/>
    </row>
  </sheetData>
  <sheetProtection sheet="1" objects="1" scenarios="1"/>
  <phoneticPr fontId="0" type="noConversion"/>
  <hyperlinks>
    <hyperlink ref="B17:C17" r:id="rId1" display="© 1982-2003, RealData® Inc. All Rights Reserved" xr:uid="{00000000-0004-0000-0B00-000000000000}"/>
  </hyperlinks>
  <pageMargins left="0.7" right="0.7" top="0.75" bottom="0.75" header="0.5" footer="0.5"/>
  <pageSetup orientation="portrait"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3:D19"/>
  <sheetViews>
    <sheetView showGridLines="0" workbookViewId="0">
      <selection activeCell="C5" sqref="C5"/>
    </sheetView>
  </sheetViews>
  <sheetFormatPr baseColWidth="10" defaultColWidth="8.83203125" defaultRowHeight="13" x14ac:dyDescent="0.15"/>
  <cols>
    <col min="1" max="1" width="7.33203125" customWidth="1"/>
    <col min="2" max="2" width="33.1640625" customWidth="1"/>
    <col min="3" max="3" width="14.5" customWidth="1"/>
  </cols>
  <sheetData>
    <row r="3" spans="2:3" x14ac:dyDescent="0.15">
      <c r="B3" s="105" t="s">
        <v>131</v>
      </c>
      <c r="C3" s="104"/>
    </row>
    <row r="5" spans="2:3" ht="13.5" customHeight="1" x14ac:dyDescent="0.15">
      <c r="B5" t="s">
        <v>135</v>
      </c>
      <c r="C5" s="157">
        <v>0</v>
      </c>
    </row>
    <row r="6" spans="2:3" ht="13.5" customHeight="1" x14ac:dyDescent="0.15">
      <c r="B6" t="s">
        <v>49</v>
      </c>
      <c r="C6" s="159">
        <v>0</v>
      </c>
    </row>
    <row r="7" spans="2:3" ht="13.5" customHeight="1" x14ac:dyDescent="0.15">
      <c r="B7" t="s">
        <v>50</v>
      </c>
      <c r="C7" s="159">
        <v>0</v>
      </c>
    </row>
    <row r="8" spans="2:3" ht="13.5" customHeight="1" x14ac:dyDescent="0.15">
      <c r="B8" t="s">
        <v>51</v>
      </c>
      <c r="C8" s="159">
        <v>0</v>
      </c>
    </row>
    <row r="9" spans="2:3" ht="13.5" customHeight="1" x14ac:dyDescent="0.15">
      <c r="B9" t="s">
        <v>52</v>
      </c>
      <c r="C9" s="159">
        <v>0</v>
      </c>
    </row>
    <row r="10" spans="2:3" ht="13.5" customHeight="1" x14ac:dyDescent="0.15">
      <c r="B10" t="s">
        <v>53</v>
      </c>
      <c r="C10" s="159">
        <v>0</v>
      </c>
    </row>
    <row r="11" spans="2:3" ht="13.5" customHeight="1" x14ac:dyDescent="0.15">
      <c r="B11" t="s">
        <v>54</v>
      </c>
      <c r="C11" s="159">
        <v>0</v>
      </c>
    </row>
    <row r="12" spans="2:3" ht="13.5" customHeight="1" x14ac:dyDescent="0.15">
      <c r="B12" t="s">
        <v>55</v>
      </c>
      <c r="C12" s="159">
        <v>0</v>
      </c>
    </row>
    <row r="13" spans="2:3" ht="13.5" customHeight="1" x14ac:dyDescent="0.15">
      <c r="B13" t="s">
        <v>56</v>
      </c>
      <c r="C13" s="159">
        <v>0</v>
      </c>
    </row>
    <row r="14" spans="2:3" ht="13.5" customHeight="1" x14ac:dyDescent="0.15">
      <c r="B14" t="s">
        <v>57</v>
      </c>
      <c r="C14" s="159">
        <v>0</v>
      </c>
    </row>
    <row r="15" spans="2:3" ht="13.5" customHeight="1" x14ac:dyDescent="0.15">
      <c r="B15" t="s">
        <v>58</v>
      </c>
      <c r="C15" s="159">
        <v>0</v>
      </c>
    </row>
    <row r="17" spans="1:4" x14ac:dyDescent="0.15">
      <c r="B17" s="63" t="s">
        <v>131</v>
      </c>
      <c r="C17" s="64" t="str">
        <f>IF(ISERROR(IRR((C5:C15))),"n/a",IRR((C5:C15)))</f>
        <v>n/a</v>
      </c>
    </row>
    <row r="18" spans="1:4" x14ac:dyDescent="0.15">
      <c r="C18" s="117"/>
    </row>
    <row r="19" spans="1:4" x14ac:dyDescent="0.15">
      <c r="A19" s="13"/>
      <c r="B19" s="116" t="s">
        <v>149</v>
      </c>
      <c r="C19" s="116"/>
      <c r="D19" s="116"/>
    </row>
  </sheetData>
  <sheetProtection sheet="1" objects="1" scenarios="1"/>
  <phoneticPr fontId="0" type="noConversion"/>
  <dataValidations count="1">
    <dataValidation type="decimal" operator="lessThanOrEqual" allowBlank="1" showInputMessage="1" showErrorMessage="1" errorTitle="Initial Investment" error="Please enter the initial investment as a negative number." sqref="C5" xr:uid="{00000000-0002-0000-0C00-000000000000}">
      <formula1>0</formula1>
    </dataValidation>
  </dataValidations>
  <hyperlinks>
    <hyperlink ref="B19:C19" r:id="rId1" display="© 1982-2003, RealData® Inc. All Rights Reserved" xr:uid="{00000000-0004-0000-0C00-000000000000}"/>
  </hyperlinks>
  <pageMargins left="0.7" right="0.7" top="0.75" bottom="0.75" header="0.5" footer="0.5"/>
  <pageSetup orientation="portrait" verticalDpi="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3:D24"/>
  <sheetViews>
    <sheetView showGridLines="0" workbookViewId="0">
      <selection activeCell="C5" sqref="C5"/>
    </sheetView>
  </sheetViews>
  <sheetFormatPr baseColWidth="10" defaultColWidth="8.83203125" defaultRowHeight="13" x14ac:dyDescent="0.15"/>
  <cols>
    <col min="1" max="1" width="19.6640625" customWidth="1"/>
    <col min="2" max="2" width="33.1640625" customWidth="1"/>
    <col min="3" max="3" width="14.5" customWidth="1"/>
  </cols>
  <sheetData>
    <row r="3" spans="2:3" x14ac:dyDescent="0.15">
      <c r="B3" s="105" t="s">
        <v>132</v>
      </c>
      <c r="C3" s="104"/>
    </row>
    <row r="4" spans="2:3" x14ac:dyDescent="0.15">
      <c r="B4" s="105"/>
      <c r="C4" s="104"/>
    </row>
    <row r="5" spans="2:3" x14ac:dyDescent="0.15">
      <c r="B5" s="118" t="s">
        <v>133</v>
      </c>
      <c r="C5" s="160">
        <v>0</v>
      </c>
    </row>
    <row r="6" spans="2:3" x14ac:dyDescent="0.15">
      <c r="B6" s="118" t="s">
        <v>134</v>
      </c>
      <c r="C6" s="160">
        <v>0</v>
      </c>
    </row>
    <row r="7" spans="2:3" x14ac:dyDescent="0.15">
      <c r="B7" s="105"/>
      <c r="C7" s="104"/>
    </row>
    <row r="9" spans="2:3" ht="13.5" customHeight="1" x14ac:dyDescent="0.15">
      <c r="B9" t="s">
        <v>135</v>
      </c>
      <c r="C9" s="157">
        <v>0</v>
      </c>
    </row>
    <row r="10" spans="2:3" ht="13.5" customHeight="1" x14ac:dyDescent="0.15">
      <c r="B10" t="s">
        <v>49</v>
      </c>
      <c r="C10" s="159">
        <v>0</v>
      </c>
    </row>
    <row r="11" spans="2:3" ht="13.5" customHeight="1" x14ac:dyDescent="0.15">
      <c r="B11" t="s">
        <v>50</v>
      </c>
      <c r="C11" s="159">
        <v>0</v>
      </c>
    </row>
    <row r="12" spans="2:3" ht="13.5" customHeight="1" x14ac:dyDescent="0.15">
      <c r="B12" t="s">
        <v>51</v>
      </c>
      <c r="C12" s="159">
        <v>0</v>
      </c>
    </row>
    <row r="13" spans="2:3" ht="13.5" customHeight="1" x14ac:dyDescent="0.15">
      <c r="B13" t="s">
        <v>52</v>
      </c>
      <c r="C13" s="159">
        <v>0</v>
      </c>
    </row>
    <row r="14" spans="2:3" ht="13.5" customHeight="1" x14ac:dyDescent="0.15">
      <c r="B14" t="s">
        <v>53</v>
      </c>
      <c r="C14" s="159">
        <v>0</v>
      </c>
    </row>
    <row r="15" spans="2:3" ht="13.5" customHeight="1" x14ac:dyDescent="0.15">
      <c r="B15" t="s">
        <v>54</v>
      </c>
      <c r="C15" s="159">
        <v>0</v>
      </c>
    </row>
    <row r="16" spans="2:3" ht="13.5" customHeight="1" x14ac:dyDescent="0.15">
      <c r="B16" t="s">
        <v>55</v>
      </c>
      <c r="C16" s="159">
        <v>0</v>
      </c>
    </row>
    <row r="17" spans="2:4" ht="13.5" customHeight="1" x14ac:dyDescent="0.15">
      <c r="B17" t="s">
        <v>56</v>
      </c>
      <c r="C17" s="159">
        <v>0</v>
      </c>
    </row>
    <row r="18" spans="2:4" ht="13.5" customHeight="1" x14ac:dyDescent="0.15">
      <c r="B18" t="s">
        <v>57</v>
      </c>
      <c r="C18" s="159">
        <v>0</v>
      </c>
    </row>
    <row r="19" spans="2:4" ht="13.5" customHeight="1" x14ac:dyDescent="0.15">
      <c r="B19" t="s">
        <v>58</v>
      </c>
      <c r="C19" s="159">
        <v>0</v>
      </c>
    </row>
    <row r="21" spans="2:4" x14ac:dyDescent="0.15">
      <c r="B21" s="63" t="s">
        <v>131</v>
      </c>
      <c r="C21" s="64" t="str">
        <f>IF(ISERROR(MIRR(C9:C19,C5,C6)),"n/a",MIRR(C9:C19,C5,C6))</f>
        <v>n/a</v>
      </c>
      <c r="D21" s="119"/>
    </row>
    <row r="22" spans="2:4" x14ac:dyDescent="0.15">
      <c r="C22" s="117"/>
    </row>
    <row r="23" spans="2:4" x14ac:dyDescent="0.15">
      <c r="B23" s="120" t="s">
        <v>149</v>
      </c>
      <c r="C23" s="121"/>
    </row>
    <row r="24" spans="2:4" x14ac:dyDescent="0.15">
      <c r="C24" s="121"/>
    </row>
  </sheetData>
  <sheetProtection sheet="1" objects="1" scenarios="1"/>
  <phoneticPr fontId="0" type="noConversion"/>
  <dataValidations count="1">
    <dataValidation type="decimal" operator="lessThanOrEqual" allowBlank="1" showInputMessage="1" showErrorMessage="1" errorTitle="Initial Investment" error="Please enter the initial investment as a negative number." sqref="C9" xr:uid="{00000000-0002-0000-0D00-000000000000}">
      <formula1>0</formula1>
    </dataValidation>
  </dataValidations>
  <hyperlinks>
    <hyperlink ref="B23" r:id="rId1" display="© 1982-2003, RealData® Inc. All Rights Reserved" xr:uid="{00000000-0004-0000-0D00-000000000000}"/>
  </hyperlinks>
  <pageMargins left="0.7" right="0.7" top="0.75" bottom="0.75" header="0.5" footer="0.5"/>
  <pageSetup orientation="portrait" verticalDpi="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G15"/>
  <sheetViews>
    <sheetView showGridLines="0" workbookViewId="0">
      <selection activeCell="A7" sqref="A7"/>
    </sheetView>
  </sheetViews>
  <sheetFormatPr baseColWidth="10" defaultColWidth="8.83203125" defaultRowHeight="13" x14ac:dyDescent="0.15"/>
  <cols>
    <col min="1" max="1" width="16.1640625" customWidth="1"/>
    <col min="2" max="2" width="13.6640625" customWidth="1"/>
    <col min="3" max="3" width="11.1640625" customWidth="1"/>
    <col min="4" max="4" width="16.1640625" customWidth="1"/>
  </cols>
  <sheetData>
    <row r="2" spans="1:7" x14ac:dyDescent="0.15">
      <c r="A2" s="105" t="s">
        <v>144</v>
      </c>
      <c r="B2" s="104"/>
      <c r="C2" s="104"/>
      <c r="D2" s="104"/>
    </row>
    <row r="4" spans="1:7" x14ac:dyDescent="0.15">
      <c r="A4" s="1" t="s">
        <v>0</v>
      </c>
      <c r="B4" s="1" t="s">
        <v>1</v>
      </c>
      <c r="C4" s="1" t="s">
        <v>2</v>
      </c>
      <c r="D4" s="1" t="s">
        <v>3</v>
      </c>
    </row>
    <row r="5" spans="1:7" x14ac:dyDescent="0.15">
      <c r="A5" s="2"/>
      <c r="B5" s="3" t="s">
        <v>4</v>
      </c>
      <c r="C5" s="2"/>
      <c r="D5" s="2"/>
    </row>
    <row r="6" spans="1:7" x14ac:dyDescent="0.15">
      <c r="B6" s="4"/>
    </row>
    <row r="7" spans="1:7" x14ac:dyDescent="0.15">
      <c r="A7" s="5">
        <v>0</v>
      </c>
      <c r="B7" s="6">
        <v>0</v>
      </c>
      <c r="C7" s="7">
        <v>0</v>
      </c>
      <c r="D7" s="8">
        <f>FV(B7,C7,,-A7)</f>
        <v>0</v>
      </c>
      <c r="E7" t="s">
        <v>5</v>
      </c>
    </row>
    <row r="8" spans="1:7" x14ac:dyDescent="0.15">
      <c r="A8" s="9">
        <f>PV(B8,C8,,-D8)</f>
        <v>0</v>
      </c>
      <c r="B8" s="6">
        <v>0</v>
      </c>
      <c r="C8" s="7">
        <v>0</v>
      </c>
      <c r="D8" s="5">
        <v>0</v>
      </c>
      <c r="E8" t="s">
        <v>6</v>
      </c>
    </row>
    <row r="9" spans="1:7" x14ac:dyDescent="0.15">
      <c r="A9" s="5">
        <v>0</v>
      </c>
      <c r="B9" s="10">
        <f>IF(ISERR(RATE(C9,,-A9,D9)),0,RATE(C9,,-A9,D9))</f>
        <v>0</v>
      </c>
      <c r="C9" s="7">
        <v>0</v>
      </c>
      <c r="D9" s="5">
        <v>0</v>
      </c>
      <c r="E9" t="s">
        <v>7</v>
      </c>
    </row>
    <row r="10" spans="1:7" x14ac:dyDescent="0.15">
      <c r="A10" s="5">
        <v>0</v>
      </c>
      <c r="B10" s="6">
        <v>0</v>
      </c>
      <c r="C10">
        <f>IF(ISERR(NPER(B10,,-A10,D10)),0,NPER(B10,,-A10,D10))</f>
        <v>0</v>
      </c>
      <c r="D10" s="5">
        <v>0</v>
      </c>
      <c r="E10" t="s">
        <v>8</v>
      </c>
    </row>
    <row r="11" spans="1:7" x14ac:dyDescent="0.15">
      <c r="A11" s="11"/>
      <c r="B11" s="12"/>
      <c r="D11" s="8"/>
    </row>
    <row r="13" spans="1:7" x14ac:dyDescent="0.15">
      <c r="A13" s="13" t="s">
        <v>149</v>
      </c>
      <c r="B13" s="13"/>
      <c r="C13" s="13"/>
      <c r="D13" s="13"/>
      <c r="E13" s="13"/>
      <c r="F13" s="13"/>
      <c r="G13" s="14"/>
    </row>
    <row r="15" spans="1:7" x14ac:dyDescent="0.15">
      <c r="A15" s="15"/>
    </row>
  </sheetData>
  <sheetProtection sheet="1" objects="1" scenarios="1"/>
  <phoneticPr fontId="0" type="noConversion"/>
  <hyperlinks>
    <hyperlink ref="A13" r:id="rId1" display="© 1982-2003, RealData® Inc. All Rights Reserved" xr:uid="{00000000-0004-0000-0100-000000000000}"/>
    <hyperlink ref="A13:F13" r:id="rId2" display="© 1982-2003, RealData® Inc. All Rights Reserved" xr:uid="{00000000-0004-0000-0100-000001000000}"/>
  </hyperlinks>
  <pageMargins left="0.7" right="0.7" top="0.75" bottom="0.75" header="0.5" footer="0.5"/>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F48"/>
  <sheetViews>
    <sheetView showGridLines="0" topLeftCell="A2" zoomScale="150" zoomScaleNormal="150" zoomScalePageLayoutView="150" workbookViewId="0">
      <selection activeCell="B4" sqref="B4"/>
    </sheetView>
  </sheetViews>
  <sheetFormatPr baseColWidth="10" defaultColWidth="8.83203125" defaultRowHeight="13" x14ac:dyDescent="0.15"/>
  <cols>
    <col min="2" max="2" width="24.83203125" customWidth="1"/>
    <col min="3" max="3" width="5.6640625" customWidth="1"/>
    <col min="4" max="4" width="7.6640625" customWidth="1"/>
    <col min="5" max="5" width="7.83203125" customWidth="1"/>
    <col min="6" max="6" width="23.83203125" customWidth="1"/>
  </cols>
  <sheetData>
    <row r="2" spans="2:6" ht="21.75" customHeight="1" x14ac:dyDescent="0.15">
      <c r="B2" s="16"/>
      <c r="C2" s="17" t="s">
        <v>9</v>
      </c>
      <c r="D2" s="18"/>
      <c r="E2" s="18"/>
      <c r="F2" s="19"/>
    </row>
    <row r="3" spans="2:6" x14ac:dyDescent="0.15">
      <c r="B3" s="20"/>
      <c r="C3" s="21"/>
      <c r="D3" s="22"/>
      <c r="E3" s="22"/>
      <c r="F3" s="22"/>
    </row>
    <row r="4" spans="2:6" x14ac:dyDescent="0.15">
      <c r="B4" s="143" t="s">
        <v>10</v>
      </c>
      <c r="C4" s="23"/>
      <c r="D4" s="24"/>
      <c r="E4" s="22"/>
      <c r="F4" s="22"/>
    </row>
    <row r="5" spans="2:6" x14ac:dyDescent="0.15">
      <c r="B5" s="143" t="s">
        <v>11</v>
      </c>
      <c r="C5" s="23"/>
      <c r="D5" s="24"/>
      <c r="E5" s="22"/>
      <c r="F5" s="22"/>
    </row>
    <row r="6" spans="2:6" x14ac:dyDescent="0.15">
      <c r="B6" s="20"/>
      <c r="C6" s="21"/>
      <c r="D6" s="22"/>
      <c r="E6" s="22"/>
      <c r="F6" s="22"/>
    </row>
    <row r="7" spans="2:6" x14ac:dyDescent="0.15">
      <c r="B7" s="25" t="s">
        <v>12</v>
      </c>
      <c r="C7" s="144"/>
      <c r="D7" s="22"/>
      <c r="E7" s="22"/>
      <c r="F7" s="22"/>
    </row>
    <row r="8" spans="2:6" x14ac:dyDescent="0.15">
      <c r="B8" s="25" t="s">
        <v>13</v>
      </c>
      <c r="C8" s="145"/>
      <c r="D8" s="27"/>
      <c r="E8" s="28"/>
      <c r="F8" s="22"/>
    </row>
    <row r="9" spans="2:6" x14ac:dyDescent="0.15">
      <c r="B9" s="29"/>
      <c r="C9" s="30"/>
      <c r="D9" s="31"/>
      <c r="E9" s="22"/>
      <c r="F9" s="22"/>
    </row>
    <row r="10" spans="2:6" x14ac:dyDescent="0.15">
      <c r="B10" s="32" t="s">
        <v>14</v>
      </c>
      <c r="C10" s="33"/>
      <c r="D10" s="34"/>
      <c r="E10" s="35"/>
      <c r="F10" s="36" t="s">
        <v>15</v>
      </c>
    </row>
    <row r="11" spans="2:6" x14ac:dyDescent="0.15">
      <c r="B11" s="37" t="s">
        <v>16</v>
      </c>
      <c r="C11" s="38"/>
      <c r="D11" s="146">
        <v>0</v>
      </c>
      <c r="E11" s="39">
        <f>IF($D$14=0,0,D11/$D$14)</f>
        <v>0</v>
      </c>
      <c r="F11" s="148"/>
    </row>
    <row r="12" spans="2:6" x14ac:dyDescent="0.15">
      <c r="B12" s="40" t="s">
        <v>153</v>
      </c>
      <c r="C12" s="38"/>
      <c r="D12" s="146">
        <v>0</v>
      </c>
      <c r="E12" s="39">
        <f>IF($D$14=0,0,D12/$D$14)</f>
        <v>0</v>
      </c>
      <c r="F12" s="148"/>
    </row>
    <row r="13" spans="2:6" x14ac:dyDescent="0.15">
      <c r="B13" s="40" t="s">
        <v>17</v>
      </c>
      <c r="C13" s="41"/>
      <c r="D13" s="147">
        <v>0</v>
      </c>
      <c r="E13" s="39">
        <f>IF($D$14=0,0,D13/$D$14)</f>
        <v>0</v>
      </c>
      <c r="F13" s="149"/>
    </row>
    <row r="14" spans="2:6" x14ac:dyDescent="0.15">
      <c r="B14" s="43" t="s">
        <v>18</v>
      </c>
      <c r="C14" s="44"/>
      <c r="D14" s="45">
        <f>SUM(D11:D13)</f>
        <v>0</v>
      </c>
      <c r="E14" s="46">
        <f>E11+E12+E13</f>
        <v>0</v>
      </c>
      <c r="F14" s="149"/>
    </row>
    <row r="15" spans="2:6" x14ac:dyDescent="0.15">
      <c r="B15" s="47"/>
      <c r="C15" s="48"/>
      <c r="D15" s="49"/>
      <c r="E15" s="49"/>
      <c r="F15" s="54"/>
    </row>
    <row r="16" spans="2:6" x14ac:dyDescent="0.15">
      <c r="B16" s="51" t="s">
        <v>19</v>
      </c>
      <c r="C16" s="52"/>
      <c r="D16" s="161">
        <f>IF(E16=0,0,D14*E16)</f>
        <v>0</v>
      </c>
      <c r="E16" s="163">
        <v>0</v>
      </c>
      <c r="F16" s="150"/>
    </row>
    <row r="17" spans="2:6" x14ac:dyDescent="0.15">
      <c r="B17" s="47"/>
      <c r="C17" s="48"/>
      <c r="D17" s="49"/>
      <c r="E17" s="49"/>
      <c r="F17" s="50"/>
    </row>
    <row r="18" spans="2:6" x14ac:dyDescent="0.15">
      <c r="B18" s="43" t="s">
        <v>20</v>
      </c>
      <c r="C18" s="44"/>
      <c r="D18" s="45">
        <f>D14-D16</f>
        <v>0</v>
      </c>
      <c r="E18" s="46">
        <f>IF(D14=0,0,D18/D14)</f>
        <v>0</v>
      </c>
      <c r="F18" s="150"/>
    </row>
    <row r="19" spans="2:6" x14ac:dyDescent="0.15">
      <c r="B19" s="47"/>
      <c r="C19" s="48"/>
      <c r="D19" s="49"/>
      <c r="E19" s="49"/>
      <c r="F19" s="54"/>
    </row>
    <row r="20" spans="2:6" x14ac:dyDescent="0.15">
      <c r="B20" s="55" t="s">
        <v>21</v>
      </c>
      <c r="C20" s="56"/>
      <c r="D20" s="57"/>
      <c r="E20" s="58"/>
      <c r="F20" s="59"/>
    </row>
    <row r="21" spans="2:6" x14ac:dyDescent="0.15">
      <c r="B21" s="40" t="s">
        <v>22</v>
      </c>
      <c r="C21" s="41"/>
      <c r="D21" s="147">
        <v>0</v>
      </c>
      <c r="E21" s="39">
        <f t="shared" ref="E21:E32" si="0">IF($D$18=0,0,D21/$D$18)</f>
        <v>0</v>
      </c>
      <c r="F21" s="149"/>
    </row>
    <row r="22" spans="2:6" x14ac:dyDescent="0.15">
      <c r="B22" s="40" t="s">
        <v>23</v>
      </c>
      <c r="C22" s="41"/>
      <c r="D22" s="147">
        <v>0</v>
      </c>
      <c r="E22" s="39">
        <f t="shared" si="0"/>
        <v>0</v>
      </c>
      <c r="F22" s="149"/>
    </row>
    <row r="23" spans="2:6" x14ac:dyDescent="0.15">
      <c r="B23" s="40" t="s">
        <v>24</v>
      </c>
      <c r="C23" s="41"/>
      <c r="D23" s="147">
        <v>0</v>
      </c>
      <c r="E23" s="39">
        <f t="shared" si="0"/>
        <v>0</v>
      </c>
      <c r="F23" s="149"/>
    </row>
    <row r="24" spans="2:6" x14ac:dyDescent="0.15">
      <c r="B24" s="40" t="s">
        <v>25</v>
      </c>
      <c r="C24" s="41"/>
      <c r="D24" s="147">
        <v>0</v>
      </c>
      <c r="E24" s="39">
        <f t="shared" si="0"/>
        <v>0</v>
      </c>
      <c r="F24" s="149"/>
    </row>
    <row r="25" spans="2:6" x14ac:dyDescent="0.15">
      <c r="B25" s="40" t="s">
        <v>26</v>
      </c>
      <c r="C25" s="41"/>
      <c r="D25" s="147">
        <v>0</v>
      </c>
      <c r="E25" s="39">
        <f t="shared" si="0"/>
        <v>0</v>
      </c>
      <c r="F25" s="149"/>
    </row>
    <row r="26" spans="2:6" x14ac:dyDescent="0.15">
      <c r="B26" s="40" t="s">
        <v>27</v>
      </c>
      <c r="C26" s="41"/>
      <c r="D26" s="147">
        <v>0</v>
      </c>
      <c r="E26" s="39">
        <f t="shared" si="0"/>
        <v>0</v>
      </c>
      <c r="F26" s="149"/>
    </row>
    <row r="27" spans="2:6" x14ac:dyDescent="0.15">
      <c r="B27" s="40" t="s">
        <v>28</v>
      </c>
      <c r="C27" s="41"/>
      <c r="D27" s="147">
        <v>0</v>
      </c>
      <c r="E27" s="39">
        <f t="shared" si="0"/>
        <v>0</v>
      </c>
      <c r="F27" s="149"/>
    </row>
    <row r="28" spans="2:6" x14ac:dyDescent="0.15">
      <c r="B28" s="40" t="s">
        <v>29</v>
      </c>
      <c r="C28" s="41"/>
      <c r="D28" s="147">
        <v>0</v>
      </c>
      <c r="E28" s="39">
        <f t="shared" si="0"/>
        <v>0</v>
      </c>
      <c r="F28" s="149"/>
    </row>
    <row r="29" spans="2:6" x14ac:dyDescent="0.15">
      <c r="B29" s="40" t="s">
        <v>30</v>
      </c>
      <c r="C29" s="41"/>
      <c r="D29" s="162">
        <f>IF(E29=0,0,D18*E29)</f>
        <v>0</v>
      </c>
      <c r="E29" s="164">
        <v>0</v>
      </c>
      <c r="F29" s="149"/>
    </row>
    <row r="30" spans="2:6" x14ac:dyDescent="0.15">
      <c r="B30" s="40" t="s">
        <v>31</v>
      </c>
      <c r="C30" s="41"/>
      <c r="D30" s="147">
        <v>0</v>
      </c>
      <c r="E30" s="39">
        <f t="shared" si="0"/>
        <v>0</v>
      </c>
      <c r="F30" s="149"/>
    </row>
    <row r="31" spans="2:6" x14ac:dyDescent="0.15">
      <c r="B31" s="40" t="s">
        <v>32</v>
      </c>
      <c r="C31" s="41"/>
      <c r="D31" s="147">
        <v>0</v>
      </c>
      <c r="E31" s="39">
        <f t="shared" si="0"/>
        <v>0</v>
      </c>
      <c r="F31" s="149"/>
    </row>
    <row r="32" spans="2:6" x14ac:dyDescent="0.15">
      <c r="B32" s="40" t="s">
        <v>33</v>
      </c>
      <c r="C32" s="41"/>
      <c r="D32" s="147">
        <v>0</v>
      </c>
      <c r="E32" s="39">
        <f t="shared" si="0"/>
        <v>0</v>
      </c>
      <c r="F32" s="149"/>
    </row>
    <row r="33" spans="2:6" x14ac:dyDescent="0.15">
      <c r="B33" s="40" t="s">
        <v>34</v>
      </c>
      <c r="C33" s="41"/>
      <c r="D33" s="57"/>
      <c r="E33" s="39"/>
      <c r="F33" s="149"/>
    </row>
    <row r="34" spans="2:6" x14ac:dyDescent="0.15">
      <c r="B34" s="40" t="s">
        <v>35</v>
      </c>
      <c r="C34" s="41"/>
      <c r="D34" s="147">
        <v>0</v>
      </c>
      <c r="E34" s="39">
        <f>IF($D$18=0,0,D34/$D$18)</f>
        <v>0</v>
      </c>
      <c r="F34" s="149"/>
    </row>
    <row r="35" spans="2:6" x14ac:dyDescent="0.15">
      <c r="B35" s="40" t="s">
        <v>36</v>
      </c>
      <c r="C35" s="41"/>
      <c r="D35" s="147">
        <v>0</v>
      </c>
      <c r="E35" s="39">
        <f>IF($D$18=0,0,D35/$D$18)</f>
        <v>0</v>
      </c>
      <c r="F35" s="149"/>
    </row>
    <row r="36" spans="2:6" x14ac:dyDescent="0.15">
      <c r="B36" s="40" t="s">
        <v>37</v>
      </c>
      <c r="C36" s="41"/>
      <c r="D36" s="147">
        <v>0</v>
      </c>
      <c r="E36" s="39">
        <f>IF($D$18=0,0,D36/$D$18)</f>
        <v>0</v>
      </c>
      <c r="F36" s="149"/>
    </row>
    <row r="37" spans="2:6" x14ac:dyDescent="0.15">
      <c r="B37" s="40" t="s">
        <v>38</v>
      </c>
      <c r="C37" s="41"/>
      <c r="D37" s="147">
        <v>0</v>
      </c>
      <c r="E37" s="39">
        <f>IF($D$18=0,0,D37/$D$18)</f>
        <v>0</v>
      </c>
      <c r="F37" s="149"/>
    </row>
    <row r="38" spans="2:6" x14ac:dyDescent="0.15">
      <c r="B38" s="40" t="s">
        <v>39</v>
      </c>
      <c r="C38" s="41"/>
      <c r="D38" s="147">
        <v>0</v>
      </c>
      <c r="E38" s="39">
        <f>IF($D$18=0,0,D38/$D$18)</f>
        <v>0</v>
      </c>
      <c r="F38" s="149"/>
    </row>
    <row r="39" spans="2:6" x14ac:dyDescent="0.15">
      <c r="B39" s="40" t="s">
        <v>40</v>
      </c>
      <c r="C39" s="41"/>
      <c r="D39" s="57"/>
      <c r="E39" s="39"/>
      <c r="F39" s="149"/>
    </row>
    <row r="40" spans="2:6" x14ac:dyDescent="0.15">
      <c r="B40" s="40" t="s">
        <v>41</v>
      </c>
      <c r="C40" s="41"/>
      <c r="D40" s="147">
        <v>0</v>
      </c>
      <c r="E40" s="39">
        <f t="shared" ref="E40:E46" si="1">IF($D$18=0,0,D40/$D$18)</f>
        <v>0</v>
      </c>
      <c r="F40" s="149"/>
    </row>
    <row r="41" spans="2:6" x14ac:dyDescent="0.15">
      <c r="B41" s="40" t="s">
        <v>42</v>
      </c>
      <c r="C41" s="41"/>
      <c r="D41" s="147">
        <v>0</v>
      </c>
      <c r="E41" s="39">
        <f t="shared" si="1"/>
        <v>0</v>
      </c>
      <c r="F41" s="149"/>
    </row>
    <row r="42" spans="2:6" x14ac:dyDescent="0.15">
      <c r="B42" s="40" t="s">
        <v>43</v>
      </c>
      <c r="C42" s="41"/>
      <c r="D42" s="147">
        <v>0</v>
      </c>
      <c r="E42" s="39">
        <f t="shared" si="1"/>
        <v>0</v>
      </c>
      <c r="F42" s="149"/>
    </row>
    <row r="43" spans="2:6" x14ac:dyDescent="0.15">
      <c r="B43" s="40" t="s">
        <v>44</v>
      </c>
      <c r="C43" s="41"/>
      <c r="D43" s="147">
        <v>0</v>
      </c>
      <c r="E43" s="39">
        <f t="shared" si="1"/>
        <v>0</v>
      </c>
      <c r="F43" s="149"/>
    </row>
    <row r="44" spans="2:6" x14ac:dyDescent="0.15">
      <c r="B44" s="40" t="s">
        <v>45</v>
      </c>
      <c r="C44" s="41"/>
      <c r="D44" s="147">
        <v>0</v>
      </c>
      <c r="E44" s="39">
        <f t="shared" si="1"/>
        <v>0</v>
      </c>
      <c r="F44" s="149"/>
    </row>
    <row r="45" spans="2:6" x14ac:dyDescent="0.15">
      <c r="B45" s="40" t="s">
        <v>38</v>
      </c>
      <c r="C45" s="41"/>
      <c r="D45" s="147">
        <v>0</v>
      </c>
      <c r="E45" s="39">
        <f t="shared" si="1"/>
        <v>0</v>
      </c>
      <c r="F45" s="149"/>
    </row>
    <row r="46" spans="2:6" x14ac:dyDescent="0.15">
      <c r="B46" s="43" t="s">
        <v>46</v>
      </c>
      <c r="C46" s="44"/>
      <c r="D46" s="45">
        <f>SUM(D21:D32)+SUM(D34:D38)+SUM(D40:D45)</f>
        <v>0</v>
      </c>
      <c r="E46" s="60">
        <f t="shared" si="1"/>
        <v>0</v>
      </c>
      <c r="F46" s="42"/>
    </row>
    <row r="47" spans="2:6" x14ac:dyDescent="0.15">
      <c r="B47" s="47"/>
      <c r="C47" s="48"/>
      <c r="D47" s="49"/>
      <c r="E47" s="49"/>
      <c r="F47" s="50"/>
    </row>
    <row r="48" spans="2:6" x14ac:dyDescent="0.15">
      <c r="B48" s="43" t="s">
        <v>47</v>
      </c>
      <c r="C48" s="44"/>
      <c r="D48" s="45">
        <f>D18-D46</f>
        <v>0</v>
      </c>
      <c r="E48" s="60">
        <f>IF($D$18=0,0,D48/$D$18)</f>
        <v>0</v>
      </c>
      <c r="F48" s="53"/>
    </row>
  </sheetData>
  <sheetProtection sheet="1" objects="1" scenarios="1" selectLockedCells="1"/>
  <phoneticPr fontId="0" type="noConversion"/>
  <pageMargins left="0.7" right="0.7" top="0.75" bottom="0.75"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E18"/>
  <sheetViews>
    <sheetView showGridLines="0" workbookViewId="0">
      <selection activeCell="C6" sqref="C6"/>
    </sheetView>
  </sheetViews>
  <sheetFormatPr baseColWidth="10" defaultColWidth="8.83203125" defaultRowHeight="13" x14ac:dyDescent="0.15"/>
  <cols>
    <col min="2" max="2" width="23.6640625" customWidth="1"/>
    <col min="3" max="3" width="12" customWidth="1"/>
    <col min="4" max="4" width="12.6640625" customWidth="1"/>
  </cols>
  <sheetData>
    <row r="2" spans="2:4" x14ac:dyDescent="0.15">
      <c r="B2" s="105" t="s">
        <v>145</v>
      </c>
      <c r="C2" s="104"/>
      <c r="D2" s="104"/>
    </row>
    <row r="4" spans="2:4" x14ac:dyDescent="0.15">
      <c r="D4" s="1" t="s">
        <v>48</v>
      </c>
    </row>
    <row r="5" spans="2:4" x14ac:dyDescent="0.15">
      <c r="C5" s="61"/>
      <c r="D5" s="152">
        <v>0</v>
      </c>
    </row>
    <row r="6" spans="2:4" x14ac:dyDescent="0.15">
      <c r="B6" t="s">
        <v>49</v>
      </c>
      <c r="C6" s="151">
        <v>0</v>
      </c>
      <c r="D6" s="62">
        <f>-PV($D$5,1,,C6)</f>
        <v>0</v>
      </c>
    </row>
    <row r="7" spans="2:4" x14ac:dyDescent="0.15">
      <c r="B7" t="s">
        <v>50</v>
      </c>
      <c r="C7" s="151">
        <v>0</v>
      </c>
      <c r="D7" s="62">
        <f>-PV($D$5,2,,C7)</f>
        <v>0</v>
      </c>
    </row>
    <row r="8" spans="2:4" x14ac:dyDescent="0.15">
      <c r="B8" t="s">
        <v>51</v>
      </c>
      <c r="C8" s="151">
        <v>0</v>
      </c>
      <c r="D8" s="62">
        <f>-PV($D$5,3,,C8)</f>
        <v>0</v>
      </c>
    </row>
    <row r="9" spans="2:4" x14ac:dyDescent="0.15">
      <c r="B9" t="s">
        <v>52</v>
      </c>
      <c r="C9" s="151">
        <v>0</v>
      </c>
      <c r="D9" s="62">
        <f>-PV($D$5,4,,C9)</f>
        <v>0</v>
      </c>
    </row>
    <row r="10" spans="2:4" x14ac:dyDescent="0.15">
      <c r="B10" t="s">
        <v>53</v>
      </c>
      <c r="C10" s="151">
        <v>0</v>
      </c>
      <c r="D10" s="62">
        <f>-PV($D$5,5,,C10)</f>
        <v>0</v>
      </c>
    </row>
    <row r="11" spans="2:4" x14ac:dyDescent="0.15">
      <c r="B11" t="s">
        <v>54</v>
      </c>
      <c r="C11" s="151">
        <v>0</v>
      </c>
      <c r="D11" s="62">
        <f>-PV($D$5,6,,C11)</f>
        <v>0</v>
      </c>
    </row>
    <row r="12" spans="2:4" x14ac:dyDescent="0.15">
      <c r="B12" t="s">
        <v>55</v>
      </c>
      <c r="C12" s="151">
        <v>0</v>
      </c>
      <c r="D12" s="62">
        <f>-PV($D$5,7,,C12)</f>
        <v>0</v>
      </c>
    </row>
    <row r="13" spans="2:4" x14ac:dyDescent="0.15">
      <c r="B13" t="s">
        <v>56</v>
      </c>
      <c r="C13" s="151">
        <v>0</v>
      </c>
      <c r="D13" s="62">
        <f>-PV($D$5,8,,C13)</f>
        <v>0</v>
      </c>
    </row>
    <row r="14" spans="2:4" x14ac:dyDescent="0.15">
      <c r="B14" t="s">
        <v>57</v>
      </c>
      <c r="C14" s="151">
        <v>0</v>
      </c>
      <c r="D14" s="62">
        <f>-PV($D$5,9,,C14)</f>
        <v>0</v>
      </c>
    </row>
    <row r="15" spans="2:4" x14ac:dyDescent="0.15">
      <c r="B15" t="s">
        <v>58</v>
      </c>
      <c r="C15" s="151">
        <v>0</v>
      </c>
      <c r="D15" s="62">
        <f>-PV($D$5,10,,C15)</f>
        <v>0</v>
      </c>
    </row>
    <row r="16" spans="2:4" x14ac:dyDescent="0.15">
      <c r="B16" s="63" t="s">
        <v>59</v>
      </c>
      <c r="D16" s="62">
        <f>SUM(D6:D15)</f>
        <v>0</v>
      </c>
    </row>
    <row r="17" spans="1:5" x14ac:dyDescent="0.15">
      <c r="B17" s="63"/>
      <c r="C17" s="64"/>
    </row>
    <row r="18" spans="1:5" x14ac:dyDescent="0.15">
      <c r="A18" s="13" t="s">
        <v>149</v>
      </c>
      <c r="B18" s="65"/>
      <c r="C18" s="66"/>
      <c r="D18" s="65"/>
      <c r="E18" s="65"/>
    </row>
  </sheetData>
  <sheetProtection sheet="1" objects="1" scenarios="1"/>
  <phoneticPr fontId="0" type="noConversion"/>
  <hyperlinks>
    <hyperlink ref="A18" r:id="rId1" display="© 1982-2003, RealData, Inc. " xr:uid="{00000000-0004-0000-0300-000000000000}"/>
    <hyperlink ref="A18:E18" r:id="rId2" display="© 1982-2003, RealData, Inc. " xr:uid="{00000000-0004-0000-0300-000001000000}"/>
  </hyperlinks>
  <pageMargins left="0.7" right="0.7" top="0.75" bottom="0.75" header="0.5" footer="0.5"/>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476"/>
  <sheetViews>
    <sheetView showGridLines="0" showOutlineSymbols="0" defaultGridColor="0" colorId="8" workbookViewId="0">
      <selection activeCell="B5" sqref="B5"/>
    </sheetView>
  </sheetViews>
  <sheetFormatPr baseColWidth="10" defaultColWidth="10.6640625" defaultRowHeight="14" x14ac:dyDescent="0.2"/>
  <cols>
    <col min="1" max="1" width="15.6640625" style="68" customWidth="1"/>
    <col min="2" max="4" width="15.5" style="68" customWidth="1"/>
    <col min="5" max="5" width="2.5" style="68" customWidth="1"/>
    <col min="6" max="6" width="10.6640625" style="68" customWidth="1"/>
    <col min="7" max="7" width="11.6640625" style="68" customWidth="1"/>
    <col min="8" max="16384" width="10.6640625" style="68"/>
  </cols>
  <sheetData>
    <row r="1" spans="1:8" x14ac:dyDescent="0.2">
      <c r="A1" s="67"/>
      <c r="B1" s="67"/>
      <c r="C1" s="67"/>
      <c r="D1" s="67"/>
      <c r="E1" s="67"/>
    </row>
    <row r="2" spans="1:8" x14ac:dyDescent="0.2">
      <c r="A2" s="67"/>
      <c r="B2" s="69" t="s">
        <v>60</v>
      </c>
      <c r="C2" s="67"/>
      <c r="D2" s="67"/>
      <c r="E2" s="67"/>
    </row>
    <row r="3" spans="1:8" ht="14.25" customHeight="1" x14ac:dyDescent="0.2">
      <c r="B3" s="70" t="s">
        <v>150</v>
      </c>
      <c r="D3" s="67"/>
      <c r="E3" s="67"/>
    </row>
    <row r="4" spans="1:8" ht="21" customHeight="1" x14ac:dyDescent="0.2">
      <c r="A4" s="71" t="s">
        <v>61</v>
      </c>
      <c r="B4" s="67"/>
      <c r="C4" s="67"/>
      <c r="D4" s="67"/>
      <c r="E4" s="67"/>
    </row>
    <row r="5" spans="1:8" ht="15" customHeight="1" x14ac:dyDescent="0.2">
      <c r="A5" s="72" t="s">
        <v>62</v>
      </c>
      <c r="B5" s="73">
        <v>0</v>
      </c>
      <c r="C5" s="72" t="s">
        <v>63</v>
      </c>
      <c r="D5" s="74">
        <v>0</v>
      </c>
      <c r="E5" s="75" t="s">
        <v>64</v>
      </c>
    </row>
    <row r="6" spans="1:8" x14ac:dyDescent="0.2">
      <c r="A6" s="72" t="s">
        <v>65</v>
      </c>
      <c r="B6" s="76">
        <v>0</v>
      </c>
      <c r="C6" s="72" t="s">
        <v>66</v>
      </c>
      <c r="D6" s="153">
        <v>1</v>
      </c>
      <c r="E6" s="67"/>
    </row>
    <row r="7" spans="1:8" x14ac:dyDescent="0.2">
      <c r="A7" s="72" t="s">
        <v>67</v>
      </c>
      <c r="B7" s="78">
        <f>IF(OR(B6=0,D5=0),0,ROUND($B$5*(($D$5/1200)*(1+($D$5/1200))^$B$6)/((1+($D$5/1200))^$B$6-1),2))</f>
        <v>0</v>
      </c>
      <c r="C7" s="72" t="s">
        <v>68</v>
      </c>
      <c r="D7" s="153">
        <v>2003</v>
      </c>
      <c r="E7" s="67"/>
      <c r="G7" s="79"/>
    </row>
    <row r="8" spans="1:8" x14ac:dyDescent="0.2">
      <c r="A8" s="72"/>
      <c r="B8" s="78"/>
      <c r="C8" s="72"/>
      <c r="D8" s="77"/>
      <c r="E8" s="67"/>
      <c r="G8" s="79"/>
    </row>
    <row r="9" spans="1:8" x14ac:dyDescent="0.2">
      <c r="A9" s="72"/>
      <c r="B9" s="78"/>
      <c r="C9" s="72"/>
      <c r="D9" s="77"/>
      <c r="E9" s="67"/>
      <c r="G9" s="79"/>
    </row>
    <row r="10" spans="1:8" x14ac:dyDescent="0.2">
      <c r="A10" s="80">
        <f>DATE(D7,D6,1)</f>
        <v>37622</v>
      </c>
      <c r="B10" s="81"/>
      <c r="C10" s="82"/>
      <c r="D10" s="83"/>
      <c r="E10" s="67"/>
      <c r="G10" s="79"/>
    </row>
    <row r="11" spans="1:8" x14ac:dyDescent="0.2">
      <c r="A11" s="67"/>
      <c r="B11" s="67"/>
      <c r="C11" s="67"/>
      <c r="D11" s="67"/>
      <c r="E11" s="67"/>
    </row>
    <row r="12" spans="1:8" x14ac:dyDescent="0.2">
      <c r="A12" s="67"/>
      <c r="B12" s="84" t="s">
        <v>69</v>
      </c>
      <c r="C12" s="84" t="s">
        <v>70</v>
      </c>
      <c r="D12" s="84" t="s">
        <v>71</v>
      </c>
      <c r="E12" s="67"/>
      <c r="H12" s="85"/>
    </row>
    <row r="13" spans="1:8" x14ac:dyDescent="0.2">
      <c r="A13" s="67" t="str">
        <f>IF(MONTH($A$10)&gt;1,"",IF(MONTH($A$10)=1,"January",""))</f>
        <v>January</v>
      </c>
      <c r="B13" s="86">
        <f>IF(MONTH($A$10)&gt;1,"",IF(MONTH($A$10)=1,ROUND($B$5*($D$5/1200),2),0))</f>
        <v>0</v>
      </c>
      <c r="C13" s="86">
        <f>IF(MONTH($A$10)&gt;1,"",IF(MONTH($A$10)=1,$B$7-B13,0))</f>
        <v>0</v>
      </c>
      <c r="D13" s="86">
        <f>IF(MONTH($A$10)&gt;1,"",IF(MONTH($A$10)=1,$B$5-C13,0))</f>
        <v>0</v>
      </c>
      <c r="E13" s="67"/>
    </row>
    <row r="14" spans="1:8" x14ac:dyDescent="0.2">
      <c r="A14" s="67" t="str">
        <f>IF(MONTH($A$10)&gt;2,"",IF(MONTH($A$10)=2,"February",IF(D13&gt;0.005,"February","")))</f>
        <v/>
      </c>
      <c r="B14" s="86">
        <f>IF(MONTH($A$10)&gt;2,"",IF(MONTH($A$10)=2,ROUND($B$5*($D$5/1200),2),IF(D13&gt;0,ROUND(D13*($D$5/1200),2),0)))</f>
        <v>0</v>
      </c>
      <c r="C14" s="86">
        <f>IF(MONTH($A$10)&gt;2,"",IF(MONTH($A$10)=2,$B$7-B14,IF(D13&lt;$B$7,D13,$B$7-B14)))</f>
        <v>0</v>
      </c>
      <c r="D14" s="86">
        <f>IF(MONTH($A$10)&gt;2,"",IF(MONTH($A$10)=2,$B$5-C14,IF(D13-C14&gt;0,D13-C14,0)))</f>
        <v>0</v>
      </c>
      <c r="E14" s="67"/>
    </row>
    <row r="15" spans="1:8" x14ac:dyDescent="0.2">
      <c r="A15" s="67" t="str">
        <f>IF(MONTH($A$10)&gt;3,"",IF(MONTH($A$10)=3,"March",IF(D14&gt;0.005,"March","")))</f>
        <v/>
      </c>
      <c r="B15" s="86">
        <f>IF(MONTH($A$10)&gt;3,"",IF(MONTH($A$10)=3,ROUND($B$5*($D$5/1200),2),IF(D14&gt;0,ROUND(D14*($D$5/1200),2),0)))</f>
        <v>0</v>
      </c>
      <c r="C15" s="86">
        <f>IF(MONTH($A$10)&gt;3,"",IF(MONTH($A$10)=3,$B$7-B15,IF(D14&lt;$B$7,D14,$B$7-B15)))</f>
        <v>0</v>
      </c>
      <c r="D15" s="86">
        <f>IF(MONTH($A$10)&gt;3,"",IF(MONTH($A$10)=3,$B$5-C15,IF(D14-C15&gt;0,D14-C15,0)))</f>
        <v>0</v>
      </c>
      <c r="E15" s="67"/>
    </row>
    <row r="16" spans="1:8" x14ac:dyDescent="0.2">
      <c r="A16" s="67" t="str">
        <f>IF(MONTH($A$10)&gt;4,"",IF(MONTH($A$10)=4,"April",IF(D15&gt;0.005,"April","")))</f>
        <v/>
      </c>
      <c r="B16" s="86">
        <f>IF(MONTH($A$10)&gt;4,"",IF(MONTH($A$10)=4,ROUND($B$5*($D$5/1200),2),IF(D15&gt;0,ROUND(D15*($D$5/1200),2),0)))</f>
        <v>0</v>
      </c>
      <c r="C16" s="86">
        <f>IF(MONTH($A$10)&gt;4,"",IF(MONTH($A$10)=4,$B$7-B16,IF(D15&lt;$B$7,D15,$B$7-B16)))</f>
        <v>0</v>
      </c>
      <c r="D16" s="86">
        <f>IF(MONTH($A$10)&gt;4,"",IF(MONTH($A$10)=4,$B$5-C16,IF(D15-C16&gt;0,D15-C16,0)))</f>
        <v>0</v>
      </c>
      <c r="E16" s="67"/>
    </row>
    <row r="17" spans="1:5" x14ac:dyDescent="0.2">
      <c r="A17" s="67" t="str">
        <f>IF(MONTH($A$10)&gt;5,"",IF(MONTH($A$10)=5,"May",IF(D16&gt;0.005,"May","")))</f>
        <v/>
      </c>
      <c r="B17" s="86">
        <f>IF(MONTH($A$10)&gt;5,"",IF(MONTH($A$10)=5,ROUND($B$5*($D$5/1200),2),IF(D16&gt;0,ROUND(D16*($D$5/1200),2),0)))</f>
        <v>0</v>
      </c>
      <c r="C17" s="86">
        <f>IF(MONTH($A$10)&gt;5,"",IF(MONTH($A$10)=5,$B$7-B17,IF(D16&lt;$B$7,D16,$B$7-B17)))</f>
        <v>0</v>
      </c>
      <c r="D17" s="86">
        <f>IF(MONTH($A$10)&gt;5,"",IF(MONTH($A$10)=5,$B$5-C17,IF(D16-C17&gt;0,D16-C17,0)))</f>
        <v>0</v>
      </c>
      <c r="E17" s="67"/>
    </row>
    <row r="18" spans="1:5" x14ac:dyDescent="0.2">
      <c r="A18" s="67" t="str">
        <f>IF(MONTH($A$10)&gt;6,"",IF(MONTH($A$10)=6,"June",IF(D17&gt;0.005,"June","")))</f>
        <v/>
      </c>
      <c r="B18" s="86">
        <f>IF(MONTH($A$10)&gt;6,"",IF(MONTH($A$10)=6,ROUND($B$5*($D$5/1200),2),IF(D17&gt;0,ROUND(D17*($D$5/1200),2),0)))</f>
        <v>0</v>
      </c>
      <c r="C18" s="86">
        <f>IF(MONTH($A$10)&gt;6,"",IF(MONTH($A$10)=6,$B$7-B18,IF(D17&lt;$B$7,D17,$B$7-B18)))</f>
        <v>0</v>
      </c>
      <c r="D18" s="86">
        <f>IF(MONTH($A$10)&gt;6,"",IF(MONTH($A$10)=6,$B$5-C18,IF(D17-C18&gt;0,D17-C18,0)))</f>
        <v>0</v>
      </c>
      <c r="E18" s="67"/>
    </row>
    <row r="19" spans="1:5" x14ac:dyDescent="0.2">
      <c r="A19" s="67" t="str">
        <f>IF(MONTH($A$10)&gt;7,"",IF(MONTH($A$10)=7,"July",IF(D18&gt;0.005,"July","")))</f>
        <v/>
      </c>
      <c r="B19" s="86">
        <f>IF(MONTH($A$10)&gt;7,"",IF(MONTH($A$10)=7,ROUND($B$5*($D$5/1200),2),IF(D18&gt;0,ROUND(D18*($D$5/1200),2),0)))</f>
        <v>0</v>
      </c>
      <c r="C19" s="86">
        <f>IF(MONTH($A$10)&gt;7,"",IF(MONTH($A$10)=7,$B$7-B19,IF(D18&lt;$B$7,D18,$B$7-B19)))</f>
        <v>0</v>
      </c>
      <c r="D19" s="86">
        <f>IF(MONTH($A$10)&gt;7,"",IF(MONTH($A$10)=7,$B$5-C19,IF(D18-C19&gt;0,D18-C19,0)))</f>
        <v>0</v>
      </c>
      <c r="E19" s="67"/>
    </row>
    <row r="20" spans="1:5" x14ac:dyDescent="0.2">
      <c r="A20" s="67" t="str">
        <f>IF(MONTH($A$10)&gt;8,"",IF(MONTH($A$10)=8,"August",IF(D19&gt;0.005,"August","")))</f>
        <v/>
      </c>
      <c r="B20" s="86">
        <f>IF(MONTH($A$10)&gt;8,"",IF(MONTH($A$10)=8,ROUND($B$5*($D$5/1200),2),IF(D19&gt;0,ROUND(D19*($D$5/1200),2),0)))</f>
        <v>0</v>
      </c>
      <c r="C20" s="86">
        <f>IF(MONTH($A$10)&gt;8,"",IF(MONTH($A$10)=8,$B$7-B20,IF(D19&lt;$B$7,D19,$B$7-B20)))</f>
        <v>0</v>
      </c>
      <c r="D20" s="86">
        <f>IF(MONTH($A$10)&gt;8,"",IF(MONTH($A$10)=8,$B$5-C20,IF(D19-C20&gt;0,D19-C20,0)))</f>
        <v>0</v>
      </c>
      <c r="E20" s="67"/>
    </row>
    <row r="21" spans="1:5" x14ac:dyDescent="0.2">
      <c r="A21" s="67" t="str">
        <f>IF(MONTH($A$10)&gt;9,"",IF(MONTH($A$10)=9,"September",IF(D20&gt;0.005,"September","")))</f>
        <v/>
      </c>
      <c r="B21" s="86">
        <f>IF(MONTH($A$10)&gt;9,"",IF(MONTH($A$10)=9,ROUND($B$5*($D$5/1200),2),IF(D20&gt;0,ROUND(D20*($D$5/1200),2),0)))</f>
        <v>0</v>
      </c>
      <c r="C21" s="86">
        <f>IF(MONTH($A$10)&gt;9,"",IF(MONTH($A$10)=9,$B$7-B21,IF(D20&lt;$B$7,D20,$B$7-B21)))</f>
        <v>0</v>
      </c>
      <c r="D21" s="86">
        <f>IF(MONTH($A$10)&gt;9,"",IF(MONTH($A$10)=9,$B$5-C21,IF(D20-C21&gt;0,D20-C21,0)))</f>
        <v>0</v>
      </c>
      <c r="E21" s="67"/>
    </row>
    <row r="22" spans="1:5" x14ac:dyDescent="0.2">
      <c r="A22" s="67" t="str">
        <f>IF(MONTH($A$10)&gt;10,"",IF(MONTH($A$10)=10,"October",IF(D21&gt;0.005,"October","")))</f>
        <v/>
      </c>
      <c r="B22" s="86">
        <f>IF(MONTH($A$10)&gt;10,"",IF(MONTH($A$10)=10,ROUND($B$5*($D$5/1200),2),IF(D21&gt;0,ROUND(D21*($D$5/1200),2),0)))</f>
        <v>0</v>
      </c>
      <c r="C22" s="86">
        <f>IF(MONTH($A$10)&gt;10,"",IF(MONTH($A$10)=10,$B$7-B22,IF(D21&lt;$B$7,D21,$B$7-B22)))</f>
        <v>0</v>
      </c>
      <c r="D22" s="86">
        <f>IF(MONTH($A$10)&gt;10,"",IF(MONTH($A$10)=10,$B$5-C22,IF(D21-C22&gt;0,D21-C22,0)))</f>
        <v>0</v>
      </c>
      <c r="E22" s="67"/>
    </row>
    <row r="23" spans="1:5" x14ac:dyDescent="0.2">
      <c r="A23" s="67" t="str">
        <f>IF(MONTH($A$10)&gt;11,"",IF(MONTH($A$10)=11,"November",IF(D22&gt;0.005,"November","")))</f>
        <v/>
      </c>
      <c r="B23" s="86">
        <f>IF(MONTH($A$10)&gt;11,"",IF(MONTH($A$10)=11,ROUND($B$5*($D$5/1200),2),IF(D22&gt;0,ROUND(D22*($D$5/1200),2),0)))</f>
        <v>0</v>
      </c>
      <c r="C23" s="86">
        <f>IF(MONTH($A$10)&gt;11,"",IF(MONTH($A$10)=11,$B$7-B23,IF(D22&lt;$B$7,D22,$B$7-B23)))</f>
        <v>0</v>
      </c>
      <c r="D23" s="86">
        <f>IF(MONTH($A$10)&gt;11,"",IF(MONTH($A$10)=11,$B$5-C23,IF(D22-C23&gt;0,D22-C23,0)))</f>
        <v>0</v>
      </c>
      <c r="E23" s="67"/>
    </row>
    <row r="24" spans="1:5" x14ac:dyDescent="0.2">
      <c r="A24" s="67" t="str">
        <f>IF(MONTH($A$10)=12,"December",IF(D23&gt;0.005,"December",""))</f>
        <v/>
      </c>
      <c r="B24" s="86">
        <f>IF(MONTH($A$10)=12,ROUND($B$5*($D$5/1200),2),IF(D23&gt;0,ROUND(D23*($D$5/1200),2),0))</f>
        <v>0</v>
      </c>
      <c r="C24" s="86">
        <f>IF(MONTH($A$10)=12,$B$7-B24,IF(D23&lt;$B$7,D23,$B$7-B24))</f>
        <v>0</v>
      </c>
      <c r="D24" s="86">
        <f>IF(MONTH($A$10)=12,$B$5-C24,IF(D23-C24&gt;0,D23-C24,0))</f>
        <v>0</v>
      </c>
      <c r="E24" s="67"/>
    </row>
    <row r="25" spans="1:5" x14ac:dyDescent="0.2">
      <c r="A25" s="87" t="str">
        <f>"Total "&amp;YEAR(A10)</f>
        <v>Total 2003</v>
      </c>
      <c r="B25" s="88">
        <f>SUM(B13:B24)</f>
        <v>0</v>
      </c>
      <c r="C25" s="88">
        <f>SUM(C13:C24)</f>
        <v>0</v>
      </c>
      <c r="D25" s="89"/>
      <c r="E25" s="67"/>
    </row>
    <row r="26" spans="1:5" x14ac:dyDescent="0.2">
      <c r="A26" s="67"/>
      <c r="B26" s="86"/>
      <c r="C26" s="86"/>
      <c r="D26" s="86"/>
      <c r="E26" s="67"/>
    </row>
    <row r="27" spans="1:5" x14ac:dyDescent="0.2">
      <c r="A27" s="67"/>
      <c r="B27" s="84" t="s">
        <v>69</v>
      </c>
      <c r="C27" s="84" t="s">
        <v>70</v>
      </c>
      <c r="D27" s="84" t="s">
        <v>71</v>
      </c>
      <c r="E27" s="67"/>
    </row>
    <row r="28" spans="1:5" x14ac:dyDescent="0.2">
      <c r="A28" s="67" t="str">
        <f>IF(D24&gt;0.005,"January","")</f>
        <v/>
      </c>
      <c r="B28" s="86">
        <f>IF(D24&gt;0,ROUND(D24*($D$5/1200),2),0)</f>
        <v>0</v>
      </c>
      <c r="C28" s="86">
        <f>IF(D24&lt;$B$7,D24,$B$7-B28)</f>
        <v>0</v>
      </c>
      <c r="D28" s="86">
        <f>IF(D24-C28&gt;0,D24-C28,0)</f>
        <v>0</v>
      </c>
      <c r="E28" s="67"/>
    </row>
    <row r="29" spans="1:5" x14ac:dyDescent="0.2">
      <c r="A29" s="67" t="str">
        <f>IF(D28&gt;0.005,"February","")</f>
        <v/>
      </c>
      <c r="B29" s="86">
        <f t="shared" ref="B29:B39" si="0">IF(D28&gt;0,ROUND(D28*($D$5/1200),2),0)</f>
        <v>0</v>
      </c>
      <c r="C29" s="86">
        <f t="shared" ref="C29:C39" si="1">IF(D28&lt;$B$7,D28,$B$7-B29)</f>
        <v>0</v>
      </c>
      <c r="D29" s="86">
        <f t="shared" ref="D29:D39" si="2">IF(D28-C29&gt;0,D28-C29,0)</f>
        <v>0</v>
      </c>
      <c r="E29" s="67"/>
    </row>
    <row r="30" spans="1:5" x14ac:dyDescent="0.2">
      <c r="A30" s="67" t="str">
        <f>IF(D29&gt;0.005,"March","")</f>
        <v/>
      </c>
      <c r="B30" s="86">
        <f t="shared" si="0"/>
        <v>0</v>
      </c>
      <c r="C30" s="86">
        <f t="shared" si="1"/>
        <v>0</v>
      </c>
      <c r="D30" s="86">
        <f t="shared" si="2"/>
        <v>0</v>
      </c>
      <c r="E30" s="67"/>
    </row>
    <row r="31" spans="1:5" x14ac:dyDescent="0.2">
      <c r="A31" s="67" t="str">
        <f>IF(D30&gt;0.005,"April","")</f>
        <v/>
      </c>
      <c r="B31" s="86">
        <f t="shared" si="0"/>
        <v>0</v>
      </c>
      <c r="C31" s="86">
        <f t="shared" si="1"/>
        <v>0</v>
      </c>
      <c r="D31" s="86">
        <f t="shared" si="2"/>
        <v>0</v>
      </c>
      <c r="E31" s="67"/>
    </row>
    <row r="32" spans="1:5" x14ac:dyDescent="0.2">
      <c r="A32" s="67" t="str">
        <f>IF(D31&gt;0.005,"May","")</f>
        <v/>
      </c>
      <c r="B32" s="86">
        <f t="shared" si="0"/>
        <v>0</v>
      </c>
      <c r="C32" s="86">
        <f t="shared" si="1"/>
        <v>0</v>
      </c>
      <c r="D32" s="86">
        <f t="shared" si="2"/>
        <v>0</v>
      </c>
      <c r="E32" s="67"/>
    </row>
    <row r="33" spans="1:5" x14ac:dyDescent="0.2">
      <c r="A33" s="67" t="str">
        <f>IF(D32&gt;0.005,"June","")</f>
        <v/>
      </c>
      <c r="B33" s="86">
        <f t="shared" si="0"/>
        <v>0</v>
      </c>
      <c r="C33" s="86">
        <f t="shared" si="1"/>
        <v>0</v>
      </c>
      <c r="D33" s="86">
        <f t="shared" si="2"/>
        <v>0</v>
      </c>
      <c r="E33" s="67"/>
    </row>
    <row r="34" spans="1:5" x14ac:dyDescent="0.2">
      <c r="A34" s="67" t="str">
        <f>IF(D33&gt;0.005,"July","")</f>
        <v/>
      </c>
      <c r="B34" s="86">
        <f t="shared" si="0"/>
        <v>0</v>
      </c>
      <c r="C34" s="86">
        <f t="shared" si="1"/>
        <v>0</v>
      </c>
      <c r="D34" s="86">
        <f t="shared" si="2"/>
        <v>0</v>
      </c>
      <c r="E34" s="67"/>
    </row>
    <row r="35" spans="1:5" x14ac:dyDescent="0.2">
      <c r="A35" s="67" t="str">
        <f>IF(D34&gt;0.005,"August","")</f>
        <v/>
      </c>
      <c r="B35" s="86">
        <f t="shared" si="0"/>
        <v>0</v>
      </c>
      <c r="C35" s="86">
        <f t="shared" si="1"/>
        <v>0</v>
      </c>
      <c r="D35" s="86">
        <f t="shared" si="2"/>
        <v>0</v>
      </c>
      <c r="E35" s="67"/>
    </row>
    <row r="36" spans="1:5" x14ac:dyDescent="0.2">
      <c r="A36" s="67" t="str">
        <f>IF(D35&gt;0.005,"September","")</f>
        <v/>
      </c>
      <c r="B36" s="86">
        <f t="shared" si="0"/>
        <v>0</v>
      </c>
      <c r="C36" s="86">
        <f t="shared" si="1"/>
        <v>0</v>
      </c>
      <c r="D36" s="86">
        <f t="shared" si="2"/>
        <v>0</v>
      </c>
      <c r="E36" s="67"/>
    </row>
    <row r="37" spans="1:5" x14ac:dyDescent="0.2">
      <c r="A37" s="67" t="str">
        <f>IF(D36&gt;0.005,"October","")</f>
        <v/>
      </c>
      <c r="B37" s="86">
        <f t="shared" si="0"/>
        <v>0</v>
      </c>
      <c r="C37" s="86">
        <f t="shared" si="1"/>
        <v>0</v>
      </c>
      <c r="D37" s="86">
        <f t="shared" si="2"/>
        <v>0</v>
      </c>
      <c r="E37" s="67"/>
    </row>
    <row r="38" spans="1:5" x14ac:dyDescent="0.2">
      <c r="A38" s="67" t="str">
        <f>IF(D37&gt;0.005,"November","")</f>
        <v/>
      </c>
      <c r="B38" s="86">
        <f t="shared" si="0"/>
        <v>0</v>
      </c>
      <c r="C38" s="86">
        <f t="shared" si="1"/>
        <v>0</v>
      </c>
      <c r="D38" s="86">
        <f t="shared" si="2"/>
        <v>0</v>
      </c>
      <c r="E38" s="67"/>
    </row>
    <row r="39" spans="1:5" x14ac:dyDescent="0.2">
      <c r="A39" s="67" t="str">
        <f>IF(D38&gt;0.005,"December","")</f>
        <v/>
      </c>
      <c r="B39" s="86">
        <f t="shared" si="0"/>
        <v>0</v>
      </c>
      <c r="C39" s="86">
        <f t="shared" si="1"/>
        <v>0</v>
      </c>
      <c r="D39" s="86">
        <f t="shared" si="2"/>
        <v>0</v>
      </c>
      <c r="E39" s="67"/>
    </row>
    <row r="40" spans="1:5" x14ac:dyDescent="0.2">
      <c r="A40" s="87" t="str">
        <f>"Total "&amp;YEAR($A$10)+1</f>
        <v>Total 2004</v>
      </c>
      <c r="B40" s="88">
        <f>SUM(B28:B39)</f>
        <v>0</v>
      </c>
      <c r="C40" s="88">
        <f>SUM(C28:C39)</f>
        <v>0</v>
      </c>
      <c r="D40" s="89"/>
      <c r="E40" s="67"/>
    </row>
    <row r="41" spans="1:5" x14ac:dyDescent="0.2">
      <c r="A41" s="67"/>
      <c r="B41" s="86"/>
      <c r="C41" s="86"/>
      <c r="D41" s="86"/>
      <c r="E41" s="67"/>
    </row>
    <row r="42" spans="1:5" x14ac:dyDescent="0.2">
      <c r="A42" s="67"/>
      <c r="B42" s="84" t="s">
        <v>69</v>
      </c>
      <c r="C42" s="84" t="s">
        <v>70</v>
      </c>
      <c r="D42" s="84" t="s">
        <v>71</v>
      </c>
      <c r="E42" s="67"/>
    </row>
    <row r="43" spans="1:5" x14ac:dyDescent="0.2">
      <c r="A43" s="67" t="str">
        <f>IF(D39&gt;0.005,"January","")</f>
        <v/>
      </c>
      <c r="B43" s="86">
        <f>IF(D39&gt;0,ROUND(D39*($D$5/1200),2),0)</f>
        <v>0</v>
      </c>
      <c r="C43" s="86">
        <f>IF(D39&lt;$B$7,D39,$B$7-B43)</f>
        <v>0</v>
      </c>
      <c r="D43" s="86">
        <f>IF(D39-C43&gt;0,D39-C43,0)</f>
        <v>0</v>
      </c>
      <c r="E43" s="67"/>
    </row>
    <row r="44" spans="1:5" x14ac:dyDescent="0.2">
      <c r="A44" s="67" t="str">
        <f>IF(D43&gt;0.005,"February","")</f>
        <v/>
      </c>
      <c r="B44" s="86">
        <f t="shared" ref="B44:B54" si="3">IF(D43&gt;0,ROUND(D43*($D$5/1200),2),0)</f>
        <v>0</v>
      </c>
      <c r="C44" s="86">
        <f t="shared" ref="C44:C54" si="4">IF(D43&lt;$B$7,D43,$B$7-B44)</f>
        <v>0</v>
      </c>
      <c r="D44" s="86">
        <f t="shared" ref="D44:D54" si="5">IF(D43-C44&gt;0,D43-C44,0)</f>
        <v>0</v>
      </c>
      <c r="E44" s="67"/>
    </row>
    <row r="45" spans="1:5" x14ac:dyDescent="0.2">
      <c r="A45" s="67" t="str">
        <f>IF(D44&gt;0.005,"March","")</f>
        <v/>
      </c>
      <c r="B45" s="86">
        <f t="shared" si="3"/>
        <v>0</v>
      </c>
      <c r="C45" s="86">
        <f t="shared" si="4"/>
        <v>0</v>
      </c>
      <c r="D45" s="86">
        <f t="shared" si="5"/>
        <v>0</v>
      </c>
      <c r="E45" s="67"/>
    </row>
    <row r="46" spans="1:5" x14ac:dyDescent="0.2">
      <c r="A46" s="67" t="str">
        <f>IF(D45&gt;0.005,"April","")</f>
        <v/>
      </c>
      <c r="B46" s="86">
        <f t="shared" si="3"/>
        <v>0</v>
      </c>
      <c r="C46" s="86">
        <f t="shared" si="4"/>
        <v>0</v>
      </c>
      <c r="D46" s="86">
        <f t="shared" si="5"/>
        <v>0</v>
      </c>
      <c r="E46" s="67"/>
    </row>
    <row r="47" spans="1:5" x14ac:dyDescent="0.2">
      <c r="A47" s="67" t="str">
        <f>IF(D46&gt;0.005,"May","")</f>
        <v/>
      </c>
      <c r="B47" s="86">
        <f t="shared" si="3"/>
        <v>0</v>
      </c>
      <c r="C47" s="86">
        <f t="shared" si="4"/>
        <v>0</v>
      </c>
      <c r="D47" s="86">
        <f t="shared" si="5"/>
        <v>0</v>
      </c>
      <c r="E47" s="67"/>
    </row>
    <row r="48" spans="1:5" x14ac:dyDescent="0.2">
      <c r="A48" s="67" t="str">
        <f>IF(D47&gt;0.005,"June","")</f>
        <v/>
      </c>
      <c r="B48" s="86">
        <f t="shared" si="3"/>
        <v>0</v>
      </c>
      <c r="C48" s="86">
        <f t="shared" si="4"/>
        <v>0</v>
      </c>
      <c r="D48" s="86">
        <f t="shared" si="5"/>
        <v>0</v>
      </c>
      <c r="E48" s="67"/>
    </row>
    <row r="49" spans="1:5" x14ac:dyDescent="0.2">
      <c r="A49" s="67" t="str">
        <f>IF(D48&gt;0.005,"July","")</f>
        <v/>
      </c>
      <c r="B49" s="86">
        <f t="shared" si="3"/>
        <v>0</v>
      </c>
      <c r="C49" s="86">
        <f t="shared" si="4"/>
        <v>0</v>
      </c>
      <c r="D49" s="86">
        <f t="shared" si="5"/>
        <v>0</v>
      </c>
      <c r="E49" s="67"/>
    </row>
    <row r="50" spans="1:5" x14ac:dyDescent="0.2">
      <c r="A50" s="67" t="str">
        <f>IF(D49&gt;0.005,"August","")</f>
        <v/>
      </c>
      <c r="B50" s="86">
        <f t="shared" si="3"/>
        <v>0</v>
      </c>
      <c r="C50" s="86">
        <f t="shared" si="4"/>
        <v>0</v>
      </c>
      <c r="D50" s="86">
        <f t="shared" si="5"/>
        <v>0</v>
      </c>
      <c r="E50" s="67"/>
    </row>
    <row r="51" spans="1:5" x14ac:dyDescent="0.2">
      <c r="A51" s="67" t="str">
        <f>IF(D50&gt;0.005,"September","")</f>
        <v/>
      </c>
      <c r="B51" s="86">
        <f t="shared" si="3"/>
        <v>0</v>
      </c>
      <c r="C51" s="86">
        <f t="shared" si="4"/>
        <v>0</v>
      </c>
      <c r="D51" s="86">
        <f t="shared" si="5"/>
        <v>0</v>
      </c>
      <c r="E51" s="67"/>
    </row>
    <row r="52" spans="1:5" x14ac:dyDescent="0.2">
      <c r="A52" s="67" t="str">
        <f>IF(D51&gt;0.005,"October","")</f>
        <v/>
      </c>
      <c r="B52" s="86">
        <f t="shared" si="3"/>
        <v>0</v>
      </c>
      <c r="C52" s="86">
        <f t="shared" si="4"/>
        <v>0</v>
      </c>
      <c r="D52" s="86">
        <f t="shared" si="5"/>
        <v>0</v>
      </c>
      <c r="E52" s="67"/>
    </row>
    <row r="53" spans="1:5" x14ac:dyDescent="0.2">
      <c r="A53" s="67" t="str">
        <f>IF(D52&gt;0.005,"November","")</f>
        <v/>
      </c>
      <c r="B53" s="86">
        <f t="shared" si="3"/>
        <v>0</v>
      </c>
      <c r="C53" s="86">
        <f t="shared" si="4"/>
        <v>0</v>
      </c>
      <c r="D53" s="86">
        <f t="shared" si="5"/>
        <v>0</v>
      </c>
      <c r="E53" s="67"/>
    </row>
    <row r="54" spans="1:5" x14ac:dyDescent="0.2">
      <c r="A54" s="67" t="str">
        <f>IF(D53&gt;0.005,"December","")</f>
        <v/>
      </c>
      <c r="B54" s="86">
        <f t="shared" si="3"/>
        <v>0</v>
      </c>
      <c r="C54" s="86">
        <f t="shared" si="4"/>
        <v>0</v>
      </c>
      <c r="D54" s="86">
        <f t="shared" si="5"/>
        <v>0</v>
      </c>
      <c r="E54" s="67"/>
    </row>
    <row r="55" spans="1:5" x14ac:dyDescent="0.2">
      <c r="A55" s="87" t="str">
        <f>"Total "&amp;YEAR($A$10)+2</f>
        <v>Total 2005</v>
      </c>
      <c r="B55" s="88">
        <f>SUM(B43:B54)</f>
        <v>0</v>
      </c>
      <c r="C55" s="88">
        <f>SUM(C43:C54)</f>
        <v>0</v>
      </c>
      <c r="D55" s="89"/>
      <c r="E55" s="67"/>
    </row>
    <row r="56" spans="1:5" x14ac:dyDescent="0.2">
      <c r="A56" s="67"/>
      <c r="B56" s="86"/>
      <c r="C56" s="86"/>
      <c r="D56" s="86"/>
      <c r="E56" s="67"/>
    </row>
    <row r="57" spans="1:5" x14ac:dyDescent="0.2">
      <c r="A57" s="67"/>
      <c r="B57" s="84" t="s">
        <v>69</v>
      </c>
      <c r="C57" s="84" t="s">
        <v>70</v>
      </c>
      <c r="D57" s="84" t="s">
        <v>71</v>
      </c>
      <c r="E57" s="67"/>
    </row>
    <row r="58" spans="1:5" x14ac:dyDescent="0.2">
      <c r="A58" s="67" t="str">
        <f>IF(D54&gt;0.005,"January","")</f>
        <v/>
      </c>
      <c r="B58" s="86">
        <f>IF(D54&gt;0,ROUND(D54*($D$5/1200),2),0)</f>
        <v>0</v>
      </c>
      <c r="C58" s="86">
        <f>IF(D54&lt;$B$7,D54,$B$7-B58)</f>
        <v>0</v>
      </c>
      <c r="D58" s="86">
        <f>IF(D54-C58&gt;0,D54-C58,0)</f>
        <v>0</v>
      </c>
      <c r="E58" s="67"/>
    </row>
    <row r="59" spans="1:5" x14ac:dyDescent="0.2">
      <c r="A59" s="67" t="str">
        <f>IF(D58&gt;0.005,"February","")</f>
        <v/>
      </c>
      <c r="B59" s="86">
        <f t="shared" ref="B59:B69" si="6">IF(D58&gt;0,ROUND(D58*($D$5/1200),2),0)</f>
        <v>0</v>
      </c>
      <c r="C59" s="86">
        <f t="shared" ref="C59:C69" si="7">IF(D58&lt;$B$7,D58,$B$7-B59)</f>
        <v>0</v>
      </c>
      <c r="D59" s="86">
        <f t="shared" ref="D59:D69" si="8">IF(D58-C59&gt;0,D58-C59,0)</f>
        <v>0</v>
      </c>
      <c r="E59" s="67"/>
    </row>
    <row r="60" spans="1:5" x14ac:dyDescent="0.2">
      <c r="A60" s="67" t="str">
        <f>IF(D59&gt;0.005,"March","")</f>
        <v/>
      </c>
      <c r="B60" s="86">
        <f t="shared" si="6"/>
        <v>0</v>
      </c>
      <c r="C60" s="86">
        <f t="shared" si="7"/>
        <v>0</v>
      </c>
      <c r="D60" s="86">
        <f t="shared" si="8"/>
        <v>0</v>
      </c>
      <c r="E60" s="67"/>
    </row>
    <row r="61" spans="1:5" x14ac:dyDescent="0.2">
      <c r="A61" s="67" t="str">
        <f>IF(D60&gt;0.005,"April","")</f>
        <v/>
      </c>
      <c r="B61" s="86">
        <f t="shared" si="6"/>
        <v>0</v>
      </c>
      <c r="C61" s="86">
        <f t="shared" si="7"/>
        <v>0</v>
      </c>
      <c r="D61" s="86">
        <f t="shared" si="8"/>
        <v>0</v>
      </c>
      <c r="E61" s="67"/>
    </row>
    <row r="62" spans="1:5" x14ac:dyDescent="0.2">
      <c r="A62" s="67" t="str">
        <f>IF(D61&gt;0.005,"May","")</f>
        <v/>
      </c>
      <c r="B62" s="86">
        <f t="shared" si="6"/>
        <v>0</v>
      </c>
      <c r="C62" s="86">
        <f t="shared" si="7"/>
        <v>0</v>
      </c>
      <c r="D62" s="86">
        <f t="shared" si="8"/>
        <v>0</v>
      </c>
      <c r="E62" s="67"/>
    </row>
    <row r="63" spans="1:5" x14ac:dyDescent="0.2">
      <c r="A63" s="67" t="str">
        <f>IF(D62&gt;0.005,"June","")</f>
        <v/>
      </c>
      <c r="B63" s="86">
        <f t="shared" si="6"/>
        <v>0</v>
      </c>
      <c r="C63" s="86">
        <f t="shared" si="7"/>
        <v>0</v>
      </c>
      <c r="D63" s="86">
        <f t="shared" si="8"/>
        <v>0</v>
      </c>
      <c r="E63" s="67"/>
    </row>
    <row r="64" spans="1:5" x14ac:dyDescent="0.2">
      <c r="A64" s="67" t="str">
        <f>IF(D63&gt;0.005,"July","")</f>
        <v/>
      </c>
      <c r="B64" s="86">
        <f t="shared" si="6"/>
        <v>0</v>
      </c>
      <c r="C64" s="86">
        <f t="shared" si="7"/>
        <v>0</v>
      </c>
      <c r="D64" s="86">
        <f t="shared" si="8"/>
        <v>0</v>
      </c>
      <c r="E64" s="67"/>
    </row>
    <row r="65" spans="1:5" x14ac:dyDescent="0.2">
      <c r="A65" s="67" t="str">
        <f>IF(D64&gt;0.005,"August","")</f>
        <v/>
      </c>
      <c r="B65" s="86">
        <f t="shared" si="6"/>
        <v>0</v>
      </c>
      <c r="C65" s="86">
        <f t="shared" si="7"/>
        <v>0</v>
      </c>
      <c r="D65" s="86">
        <f t="shared" si="8"/>
        <v>0</v>
      </c>
      <c r="E65" s="67"/>
    </row>
    <row r="66" spans="1:5" x14ac:dyDescent="0.2">
      <c r="A66" s="67" t="str">
        <f>IF(D65&gt;0.005,"September","")</f>
        <v/>
      </c>
      <c r="B66" s="86">
        <f t="shared" si="6"/>
        <v>0</v>
      </c>
      <c r="C66" s="86">
        <f t="shared" si="7"/>
        <v>0</v>
      </c>
      <c r="D66" s="86">
        <f t="shared" si="8"/>
        <v>0</v>
      </c>
      <c r="E66" s="67"/>
    </row>
    <row r="67" spans="1:5" x14ac:dyDescent="0.2">
      <c r="A67" s="67" t="str">
        <f>IF(D66&gt;0.005,"October","")</f>
        <v/>
      </c>
      <c r="B67" s="86">
        <f t="shared" si="6"/>
        <v>0</v>
      </c>
      <c r="C67" s="86">
        <f t="shared" si="7"/>
        <v>0</v>
      </c>
      <c r="D67" s="86">
        <f t="shared" si="8"/>
        <v>0</v>
      </c>
      <c r="E67" s="67"/>
    </row>
    <row r="68" spans="1:5" x14ac:dyDescent="0.2">
      <c r="A68" s="67" t="str">
        <f>IF(D67&gt;0.005,"November","")</f>
        <v/>
      </c>
      <c r="B68" s="86">
        <f t="shared" si="6"/>
        <v>0</v>
      </c>
      <c r="C68" s="86">
        <f t="shared" si="7"/>
        <v>0</v>
      </c>
      <c r="D68" s="86">
        <f t="shared" si="8"/>
        <v>0</v>
      </c>
      <c r="E68" s="67"/>
    </row>
    <row r="69" spans="1:5" x14ac:dyDescent="0.2">
      <c r="A69" s="67" t="str">
        <f>IF(D68&gt;0.005,"December","")</f>
        <v/>
      </c>
      <c r="B69" s="86">
        <f t="shared" si="6"/>
        <v>0</v>
      </c>
      <c r="C69" s="86">
        <f t="shared" si="7"/>
        <v>0</v>
      </c>
      <c r="D69" s="86">
        <f t="shared" si="8"/>
        <v>0</v>
      </c>
      <c r="E69" s="67"/>
    </row>
    <row r="70" spans="1:5" x14ac:dyDescent="0.2">
      <c r="A70" s="87" t="str">
        <f>"Total "&amp;YEAR($A$10)+3</f>
        <v>Total 2006</v>
      </c>
      <c r="B70" s="88">
        <f>SUM(B58:B69)</f>
        <v>0</v>
      </c>
      <c r="C70" s="88">
        <f>SUM(C58:C69)</f>
        <v>0</v>
      </c>
      <c r="D70" s="89"/>
      <c r="E70" s="67"/>
    </row>
    <row r="71" spans="1:5" x14ac:dyDescent="0.2">
      <c r="A71" s="67"/>
      <c r="B71" s="86"/>
      <c r="C71" s="86"/>
      <c r="D71" s="86"/>
      <c r="E71" s="67"/>
    </row>
    <row r="72" spans="1:5" x14ac:dyDescent="0.2">
      <c r="A72" s="67"/>
      <c r="B72" s="84" t="s">
        <v>69</v>
      </c>
      <c r="C72" s="84" t="s">
        <v>70</v>
      </c>
      <c r="D72" s="84" t="s">
        <v>71</v>
      </c>
      <c r="E72" s="67"/>
    </row>
    <row r="73" spans="1:5" x14ac:dyDescent="0.2">
      <c r="A73" s="67" t="str">
        <f>IF(D69&gt;0.005,"January","")</f>
        <v/>
      </c>
      <c r="B73" s="86">
        <f>IF(D69&gt;0,ROUND(D69*($D$5/1200),2),0)</f>
        <v>0</v>
      </c>
      <c r="C73" s="86">
        <f>IF(D69&lt;$B$7,D69,$B$7-B73)</f>
        <v>0</v>
      </c>
      <c r="D73" s="86">
        <f>IF(D69-C73&gt;0,D69-C73,0)</f>
        <v>0</v>
      </c>
      <c r="E73" s="67"/>
    </row>
    <row r="74" spans="1:5" x14ac:dyDescent="0.2">
      <c r="A74" s="67" t="str">
        <f>IF(D73&gt;0.005,"February","")</f>
        <v/>
      </c>
      <c r="B74" s="86">
        <f t="shared" ref="B74:B84" si="9">IF(D73&gt;0,ROUND(D73*($D$5/1200),2),0)</f>
        <v>0</v>
      </c>
      <c r="C74" s="86">
        <f t="shared" ref="C74:C84" si="10">IF(D73&lt;$B$7,D73,$B$7-B74)</f>
        <v>0</v>
      </c>
      <c r="D74" s="86">
        <f t="shared" ref="D74:D84" si="11">IF(D73-C74&gt;0,D73-C74,0)</f>
        <v>0</v>
      </c>
      <c r="E74" s="67"/>
    </row>
    <row r="75" spans="1:5" x14ac:dyDescent="0.2">
      <c r="A75" s="67" t="str">
        <f>IF(D74&gt;0.005,"March","")</f>
        <v/>
      </c>
      <c r="B75" s="86">
        <f t="shared" si="9"/>
        <v>0</v>
      </c>
      <c r="C75" s="86">
        <f t="shared" si="10"/>
        <v>0</v>
      </c>
      <c r="D75" s="86">
        <f t="shared" si="11"/>
        <v>0</v>
      </c>
      <c r="E75" s="67"/>
    </row>
    <row r="76" spans="1:5" x14ac:dyDescent="0.2">
      <c r="A76" s="67" t="str">
        <f>IF(D75&gt;0.005,"April","")</f>
        <v/>
      </c>
      <c r="B76" s="86">
        <f t="shared" si="9"/>
        <v>0</v>
      </c>
      <c r="C76" s="86">
        <f t="shared" si="10"/>
        <v>0</v>
      </c>
      <c r="D76" s="86">
        <f t="shared" si="11"/>
        <v>0</v>
      </c>
      <c r="E76" s="67"/>
    </row>
    <row r="77" spans="1:5" x14ac:dyDescent="0.2">
      <c r="A77" s="67" t="str">
        <f>IF(D76&gt;0.005,"May","")</f>
        <v/>
      </c>
      <c r="B77" s="86">
        <f t="shared" si="9"/>
        <v>0</v>
      </c>
      <c r="C77" s="86">
        <f t="shared" si="10"/>
        <v>0</v>
      </c>
      <c r="D77" s="86">
        <f t="shared" si="11"/>
        <v>0</v>
      </c>
      <c r="E77" s="67"/>
    </row>
    <row r="78" spans="1:5" x14ac:dyDescent="0.2">
      <c r="A78" s="67" t="str">
        <f>IF(D77&gt;0.005,"June","")</f>
        <v/>
      </c>
      <c r="B78" s="86">
        <f t="shared" si="9"/>
        <v>0</v>
      </c>
      <c r="C78" s="86">
        <f t="shared" si="10"/>
        <v>0</v>
      </c>
      <c r="D78" s="86">
        <f t="shared" si="11"/>
        <v>0</v>
      </c>
      <c r="E78" s="67"/>
    </row>
    <row r="79" spans="1:5" x14ac:dyDescent="0.2">
      <c r="A79" s="67" t="str">
        <f>IF(D78&gt;0.005,"July","")</f>
        <v/>
      </c>
      <c r="B79" s="86">
        <f t="shared" si="9"/>
        <v>0</v>
      </c>
      <c r="C79" s="86">
        <f t="shared" si="10"/>
        <v>0</v>
      </c>
      <c r="D79" s="86">
        <f t="shared" si="11"/>
        <v>0</v>
      </c>
      <c r="E79" s="67"/>
    </row>
    <row r="80" spans="1:5" x14ac:dyDescent="0.2">
      <c r="A80" s="67" t="str">
        <f>IF(D79&gt;0.005,"August","")</f>
        <v/>
      </c>
      <c r="B80" s="86">
        <f t="shared" si="9"/>
        <v>0</v>
      </c>
      <c r="C80" s="86">
        <f t="shared" si="10"/>
        <v>0</v>
      </c>
      <c r="D80" s="86">
        <f t="shared" si="11"/>
        <v>0</v>
      </c>
      <c r="E80" s="67"/>
    </row>
    <row r="81" spans="1:5" x14ac:dyDescent="0.2">
      <c r="A81" s="67" t="str">
        <f>IF(D80&gt;0.005,"September","")</f>
        <v/>
      </c>
      <c r="B81" s="86">
        <f t="shared" si="9"/>
        <v>0</v>
      </c>
      <c r="C81" s="86">
        <f t="shared" si="10"/>
        <v>0</v>
      </c>
      <c r="D81" s="86">
        <f t="shared" si="11"/>
        <v>0</v>
      </c>
      <c r="E81" s="67"/>
    </row>
    <row r="82" spans="1:5" x14ac:dyDescent="0.2">
      <c r="A82" s="67" t="str">
        <f>IF(D81&gt;0.005,"October","")</f>
        <v/>
      </c>
      <c r="B82" s="86">
        <f t="shared" si="9"/>
        <v>0</v>
      </c>
      <c r="C82" s="86">
        <f t="shared" si="10"/>
        <v>0</v>
      </c>
      <c r="D82" s="86">
        <f t="shared" si="11"/>
        <v>0</v>
      </c>
      <c r="E82" s="67"/>
    </row>
    <row r="83" spans="1:5" x14ac:dyDescent="0.2">
      <c r="A83" s="67" t="str">
        <f>IF(D82&gt;0.005,"November","")</f>
        <v/>
      </c>
      <c r="B83" s="86">
        <f t="shared" si="9"/>
        <v>0</v>
      </c>
      <c r="C83" s="86">
        <f t="shared" si="10"/>
        <v>0</v>
      </c>
      <c r="D83" s="86">
        <f t="shared" si="11"/>
        <v>0</v>
      </c>
      <c r="E83" s="67"/>
    </row>
    <row r="84" spans="1:5" x14ac:dyDescent="0.2">
      <c r="A84" s="67" t="str">
        <f>IF(D83&gt;0.005,"December","")</f>
        <v/>
      </c>
      <c r="B84" s="86">
        <f t="shared" si="9"/>
        <v>0</v>
      </c>
      <c r="C84" s="86">
        <f t="shared" si="10"/>
        <v>0</v>
      </c>
      <c r="D84" s="86">
        <f t="shared" si="11"/>
        <v>0</v>
      </c>
      <c r="E84" s="67"/>
    </row>
    <row r="85" spans="1:5" x14ac:dyDescent="0.2">
      <c r="A85" s="87" t="str">
        <f>"Total "&amp;YEAR($A$10)+4</f>
        <v>Total 2007</v>
      </c>
      <c r="B85" s="88">
        <f>SUM(B73:B84)</f>
        <v>0</v>
      </c>
      <c r="C85" s="88">
        <f>SUM(C73:C84)</f>
        <v>0</v>
      </c>
      <c r="D85" s="89"/>
      <c r="E85" s="67"/>
    </row>
    <row r="86" spans="1:5" x14ac:dyDescent="0.2">
      <c r="A86" s="69"/>
      <c r="B86" s="90"/>
      <c r="C86" s="90"/>
      <c r="D86" s="86"/>
      <c r="E86" s="67"/>
    </row>
    <row r="87" spans="1:5" x14ac:dyDescent="0.2">
      <c r="A87" s="67"/>
      <c r="B87" s="84" t="s">
        <v>69</v>
      </c>
      <c r="C87" s="84" t="s">
        <v>70</v>
      </c>
      <c r="D87" s="84" t="s">
        <v>71</v>
      </c>
      <c r="E87" s="67"/>
    </row>
    <row r="88" spans="1:5" x14ac:dyDescent="0.2">
      <c r="A88" s="67" t="str">
        <f>IF(D84&gt;0.005,"January","")</f>
        <v/>
      </c>
      <c r="B88" s="86">
        <f>IF(D84&gt;0,ROUND(D84*($D$5/1200),2),0)</f>
        <v>0</v>
      </c>
      <c r="C88" s="86">
        <f>IF(D84&lt;$B$7,D84,$B$7-B88)</f>
        <v>0</v>
      </c>
      <c r="D88" s="86">
        <f>IF(D84-C88&gt;0,D84-C88,0)</f>
        <v>0</v>
      </c>
      <c r="E88" s="67"/>
    </row>
    <row r="89" spans="1:5" x14ac:dyDescent="0.2">
      <c r="A89" s="67" t="str">
        <f>IF(D88&gt;0.005,"February","")</f>
        <v/>
      </c>
      <c r="B89" s="86">
        <f t="shared" ref="B89:B99" si="12">IF(D88&gt;0,ROUND(D88*($D$5/1200),2),0)</f>
        <v>0</v>
      </c>
      <c r="C89" s="86">
        <f t="shared" ref="C89:C99" si="13">IF(D88&lt;$B$7,D88,$B$7-B89)</f>
        <v>0</v>
      </c>
      <c r="D89" s="86">
        <f t="shared" ref="D89:D99" si="14">IF(D88-C89&gt;0,D88-C89,0)</f>
        <v>0</v>
      </c>
      <c r="E89" s="67"/>
    </row>
    <row r="90" spans="1:5" x14ac:dyDescent="0.2">
      <c r="A90" s="67" t="str">
        <f>IF(D89&gt;0.005,"March","")</f>
        <v/>
      </c>
      <c r="B90" s="86">
        <f t="shared" si="12"/>
        <v>0</v>
      </c>
      <c r="C90" s="86">
        <f t="shared" si="13"/>
        <v>0</v>
      </c>
      <c r="D90" s="86">
        <f t="shared" si="14"/>
        <v>0</v>
      </c>
      <c r="E90" s="67"/>
    </row>
    <row r="91" spans="1:5" x14ac:dyDescent="0.2">
      <c r="A91" s="67" t="str">
        <f>IF(D90&gt;0.005,"April","")</f>
        <v/>
      </c>
      <c r="B91" s="86">
        <f t="shared" si="12"/>
        <v>0</v>
      </c>
      <c r="C91" s="86">
        <f t="shared" si="13"/>
        <v>0</v>
      </c>
      <c r="D91" s="86">
        <f t="shared" si="14"/>
        <v>0</v>
      </c>
      <c r="E91" s="67"/>
    </row>
    <row r="92" spans="1:5" x14ac:dyDescent="0.2">
      <c r="A92" s="67" t="str">
        <f>IF(D91&gt;0.005,"May","")</f>
        <v/>
      </c>
      <c r="B92" s="86">
        <f t="shared" si="12"/>
        <v>0</v>
      </c>
      <c r="C92" s="86">
        <f t="shared" si="13"/>
        <v>0</v>
      </c>
      <c r="D92" s="86">
        <f t="shared" si="14"/>
        <v>0</v>
      </c>
      <c r="E92" s="67"/>
    </row>
    <row r="93" spans="1:5" x14ac:dyDescent="0.2">
      <c r="A93" s="67" t="str">
        <f>IF(D92&gt;0.005,"June","")</f>
        <v/>
      </c>
      <c r="B93" s="86">
        <f t="shared" si="12"/>
        <v>0</v>
      </c>
      <c r="C93" s="86">
        <f t="shared" si="13"/>
        <v>0</v>
      </c>
      <c r="D93" s="86">
        <f t="shared" si="14"/>
        <v>0</v>
      </c>
      <c r="E93" s="67"/>
    </row>
    <row r="94" spans="1:5" x14ac:dyDescent="0.2">
      <c r="A94" s="67" t="str">
        <f>IF(D93&gt;0.005,"July","")</f>
        <v/>
      </c>
      <c r="B94" s="86">
        <f t="shared" si="12"/>
        <v>0</v>
      </c>
      <c r="C94" s="86">
        <f t="shared" si="13"/>
        <v>0</v>
      </c>
      <c r="D94" s="86">
        <f t="shared" si="14"/>
        <v>0</v>
      </c>
      <c r="E94" s="67"/>
    </row>
    <row r="95" spans="1:5" x14ac:dyDescent="0.2">
      <c r="A95" s="67" t="str">
        <f>IF(D94&gt;0.005,"August","")</f>
        <v/>
      </c>
      <c r="B95" s="86">
        <f t="shared" si="12"/>
        <v>0</v>
      </c>
      <c r="C95" s="86">
        <f t="shared" si="13"/>
        <v>0</v>
      </c>
      <c r="D95" s="86">
        <f t="shared" si="14"/>
        <v>0</v>
      </c>
      <c r="E95" s="67"/>
    </row>
    <row r="96" spans="1:5" x14ac:dyDescent="0.2">
      <c r="A96" s="67" t="str">
        <f>IF(D95&gt;0.005,"September","")</f>
        <v/>
      </c>
      <c r="B96" s="86">
        <f t="shared" si="12"/>
        <v>0</v>
      </c>
      <c r="C96" s="86">
        <f t="shared" si="13"/>
        <v>0</v>
      </c>
      <c r="D96" s="86">
        <f t="shared" si="14"/>
        <v>0</v>
      </c>
      <c r="E96" s="67"/>
    </row>
    <row r="97" spans="1:5" x14ac:dyDescent="0.2">
      <c r="A97" s="67" t="str">
        <f>IF(D96&gt;0.005,"October","")</f>
        <v/>
      </c>
      <c r="B97" s="86">
        <f t="shared" si="12"/>
        <v>0</v>
      </c>
      <c r="C97" s="86">
        <f t="shared" si="13"/>
        <v>0</v>
      </c>
      <c r="D97" s="86">
        <f t="shared" si="14"/>
        <v>0</v>
      </c>
      <c r="E97" s="67"/>
    </row>
    <row r="98" spans="1:5" x14ac:dyDescent="0.2">
      <c r="A98" s="67" t="str">
        <f>IF(D97&gt;0.005,"November","")</f>
        <v/>
      </c>
      <c r="B98" s="86">
        <f t="shared" si="12"/>
        <v>0</v>
      </c>
      <c r="C98" s="86">
        <f t="shared" si="13"/>
        <v>0</v>
      </c>
      <c r="D98" s="86">
        <f t="shared" si="14"/>
        <v>0</v>
      </c>
      <c r="E98" s="67"/>
    </row>
    <row r="99" spans="1:5" x14ac:dyDescent="0.2">
      <c r="A99" s="67" t="str">
        <f>IF(D98&gt;0.005,"December","")</f>
        <v/>
      </c>
      <c r="B99" s="86">
        <f t="shared" si="12"/>
        <v>0</v>
      </c>
      <c r="C99" s="86">
        <f t="shared" si="13"/>
        <v>0</v>
      </c>
      <c r="D99" s="86">
        <f t="shared" si="14"/>
        <v>0</v>
      </c>
      <c r="E99" s="67"/>
    </row>
    <row r="100" spans="1:5" x14ac:dyDescent="0.2">
      <c r="A100" s="87" t="str">
        <f>"Total "&amp;YEAR($A$10)+5</f>
        <v>Total 2008</v>
      </c>
      <c r="B100" s="88">
        <f>SUM(B88:B99)</f>
        <v>0</v>
      </c>
      <c r="C100" s="88">
        <f>SUM(C88:C99)</f>
        <v>0</v>
      </c>
      <c r="D100" s="89"/>
      <c r="E100" s="67"/>
    </row>
    <row r="101" spans="1:5" x14ac:dyDescent="0.2">
      <c r="A101" s="67"/>
      <c r="B101" s="86"/>
      <c r="C101" s="86"/>
      <c r="D101" s="86"/>
      <c r="E101" s="67"/>
    </row>
    <row r="102" spans="1:5" x14ac:dyDescent="0.2">
      <c r="A102" s="67"/>
      <c r="B102" s="84" t="s">
        <v>69</v>
      </c>
      <c r="C102" s="84" t="s">
        <v>70</v>
      </c>
      <c r="D102" s="84" t="s">
        <v>71</v>
      </c>
      <c r="E102" s="67"/>
    </row>
    <row r="103" spans="1:5" x14ac:dyDescent="0.2">
      <c r="A103" s="67" t="str">
        <f>IF(D99&gt;0.005,"January","")</f>
        <v/>
      </c>
      <c r="B103" s="86">
        <f>IF(D99&gt;0,ROUND(D99*($D$5/1200),2),0)</f>
        <v>0</v>
      </c>
      <c r="C103" s="86">
        <f>IF(D99&lt;$B$7,D99,$B$7-B103)</f>
        <v>0</v>
      </c>
      <c r="D103" s="86">
        <f>IF(D99-C103&gt;0,D99-C103,0)</f>
        <v>0</v>
      </c>
      <c r="E103" s="67"/>
    </row>
    <row r="104" spans="1:5" x14ac:dyDescent="0.2">
      <c r="A104" s="67" t="str">
        <f>IF(D103&gt;0.005,"February","")</f>
        <v/>
      </c>
      <c r="B104" s="86">
        <f t="shared" ref="B104:B114" si="15">IF(D103&gt;0,ROUND(D103*($D$5/1200),2),0)</f>
        <v>0</v>
      </c>
      <c r="C104" s="86">
        <f t="shared" ref="C104:C114" si="16">IF(D103&lt;$B$7,D103,$B$7-B104)</f>
        <v>0</v>
      </c>
      <c r="D104" s="86">
        <f t="shared" ref="D104:D114" si="17">IF(D103-C104&gt;0,D103-C104,0)</f>
        <v>0</v>
      </c>
      <c r="E104" s="67"/>
    </row>
    <row r="105" spans="1:5" x14ac:dyDescent="0.2">
      <c r="A105" s="67" t="str">
        <f>IF(D104&gt;0.005,"March","")</f>
        <v/>
      </c>
      <c r="B105" s="86">
        <f t="shared" si="15"/>
        <v>0</v>
      </c>
      <c r="C105" s="86">
        <f t="shared" si="16"/>
        <v>0</v>
      </c>
      <c r="D105" s="86">
        <f t="shared" si="17"/>
        <v>0</v>
      </c>
      <c r="E105" s="67"/>
    </row>
    <row r="106" spans="1:5" x14ac:dyDescent="0.2">
      <c r="A106" s="67" t="str">
        <f>IF(D105&gt;0.005,"April","")</f>
        <v/>
      </c>
      <c r="B106" s="86">
        <f t="shared" si="15"/>
        <v>0</v>
      </c>
      <c r="C106" s="86">
        <f t="shared" si="16"/>
        <v>0</v>
      </c>
      <c r="D106" s="86">
        <f t="shared" si="17"/>
        <v>0</v>
      </c>
      <c r="E106" s="67"/>
    </row>
    <row r="107" spans="1:5" x14ac:dyDescent="0.2">
      <c r="A107" s="67" t="str">
        <f>IF(D106&gt;0.005,"May","")</f>
        <v/>
      </c>
      <c r="B107" s="86">
        <f t="shared" si="15"/>
        <v>0</v>
      </c>
      <c r="C107" s="86">
        <f t="shared" si="16"/>
        <v>0</v>
      </c>
      <c r="D107" s="86">
        <f t="shared" si="17"/>
        <v>0</v>
      </c>
      <c r="E107" s="67"/>
    </row>
    <row r="108" spans="1:5" x14ac:dyDescent="0.2">
      <c r="A108" s="67" t="str">
        <f>IF(D107&gt;0.005,"June","")</f>
        <v/>
      </c>
      <c r="B108" s="86">
        <f t="shared" si="15"/>
        <v>0</v>
      </c>
      <c r="C108" s="86">
        <f t="shared" si="16"/>
        <v>0</v>
      </c>
      <c r="D108" s="86">
        <f t="shared" si="17"/>
        <v>0</v>
      </c>
      <c r="E108" s="67"/>
    </row>
    <row r="109" spans="1:5" x14ac:dyDescent="0.2">
      <c r="A109" s="67" t="str">
        <f>IF(D108&gt;0.005,"July","")</f>
        <v/>
      </c>
      <c r="B109" s="86">
        <f t="shared" si="15"/>
        <v>0</v>
      </c>
      <c r="C109" s="86">
        <f t="shared" si="16"/>
        <v>0</v>
      </c>
      <c r="D109" s="86">
        <f t="shared" si="17"/>
        <v>0</v>
      </c>
      <c r="E109" s="67"/>
    </row>
    <row r="110" spans="1:5" x14ac:dyDescent="0.2">
      <c r="A110" s="67" t="str">
        <f>IF(D109&gt;0.005,"August","")</f>
        <v/>
      </c>
      <c r="B110" s="86">
        <f t="shared" si="15"/>
        <v>0</v>
      </c>
      <c r="C110" s="86">
        <f t="shared" si="16"/>
        <v>0</v>
      </c>
      <c r="D110" s="86">
        <f t="shared" si="17"/>
        <v>0</v>
      </c>
      <c r="E110" s="67"/>
    </row>
    <row r="111" spans="1:5" x14ac:dyDescent="0.2">
      <c r="A111" s="67" t="str">
        <f>IF(D110&gt;0.005,"September","")</f>
        <v/>
      </c>
      <c r="B111" s="86">
        <f t="shared" si="15"/>
        <v>0</v>
      </c>
      <c r="C111" s="86">
        <f t="shared" si="16"/>
        <v>0</v>
      </c>
      <c r="D111" s="86">
        <f t="shared" si="17"/>
        <v>0</v>
      </c>
      <c r="E111" s="67"/>
    </row>
    <row r="112" spans="1:5" x14ac:dyDescent="0.2">
      <c r="A112" s="67" t="str">
        <f>IF(D111&gt;0.005,"October","")</f>
        <v/>
      </c>
      <c r="B112" s="86">
        <f t="shared" si="15"/>
        <v>0</v>
      </c>
      <c r="C112" s="86">
        <f t="shared" si="16"/>
        <v>0</v>
      </c>
      <c r="D112" s="86">
        <f t="shared" si="17"/>
        <v>0</v>
      </c>
      <c r="E112" s="67"/>
    </row>
    <row r="113" spans="1:5" x14ac:dyDescent="0.2">
      <c r="A113" s="67" t="str">
        <f>IF(D112&gt;0.005,"November","")</f>
        <v/>
      </c>
      <c r="B113" s="86">
        <f t="shared" si="15"/>
        <v>0</v>
      </c>
      <c r="C113" s="86">
        <f t="shared" si="16"/>
        <v>0</v>
      </c>
      <c r="D113" s="86">
        <f t="shared" si="17"/>
        <v>0</v>
      </c>
      <c r="E113" s="67"/>
    </row>
    <row r="114" spans="1:5" x14ac:dyDescent="0.2">
      <c r="A114" s="67" t="str">
        <f>IF(D113&gt;0.005,"December","")</f>
        <v/>
      </c>
      <c r="B114" s="86">
        <f t="shared" si="15"/>
        <v>0</v>
      </c>
      <c r="C114" s="86">
        <f t="shared" si="16"/>
        <v>0</v>
      </c>
      <c r="D114" s="86">
        <f t="shared" si="17"/>
        <v>0</v>
      </c>
      <c r="E114" s="67"/>
    </row>
    <row r="115" spans="1:5" x14ac:dyDescent="0.2">
      <c r="A115" s="87" t="str">
        <f>"Total "&amp;YEAR($A$10)+6</f>
        <v>Total 2009</v>
      </c>
      <c r="B115" s="88">
        <f>SUM(B103:B114)</f>
        <v>0</v>
      </c>
      <c r="C115" s="88">
        <f>SUM(C103:C114)</f>
        <v>0</v>
      </c>
      <c r="D115" s="89"/>
      <c r="E115" s="67"/>
    </row>
    <row r="116" spans="1:5" x14ac:dyDescent="0.2">
      <c r="A116" s="67"/>
      <c r="B116" s="86"/>
      <c r="C116" s="86"/>
      <c r="D116" s="86"/>
      <c r="E116" s="67"/>
    </row>
    <row r="117" spans="1:5" x14ac:dyDescent="0.2">
      <c r="A117" s="67"/>
      <c r="B117" s="84" t="s">
        <v>69</v>
      </c>
      <c r="C117" s="84" t="s">
        <v>70</v>
      </c>
      <c r="D117" s="84" t="s">
        <v>71</v>
      </c>
      <c r="E117" s="67"/>
    </row>
    <row r="118" spans="1:5" x14ac:dyDescent="0.2">
      <c r="A118" s="67" t="str">
        <f>IF(D114&gt;0.005,"January","")</f>
        <v/>
      </c>
      <c r="B118" s="86">
        <f>IF(D114&gt;0,ROUND(D114*($D$5/1200),2),0)</f>
        <v>0</v>
      </c>
      <c r="C118" s="86">
        <f>IF(D114&lt;$B$7,D114,$B$7-B118)</f>
        <v>0</v>
      </c>
      <c r="D118" s="86">
        <f>IF(D114-C118&gt;0,D114-C118,0)</f>
        <v>0</v>
      </c>
      <c r="E118" s="67"/>
    </row>
    <row r="119" spans="1:5" x14ac:dyDescent="0.2">
      <c r="A119" s="67" t="str">
        <f>IF(D118&gt;0.005,"February","")</f>
        <v/>
      </c>
      <c r="B119" s="86">
        <f t="shared" ref="B119:B129" si="18">IF(D118&gt;0,ROUND(D118*($D$5/1200),2),0)</f>
        <v>0</v>
      </c>
      <c r="C119" s="86">
        <f t="shared" ref="C119:C129" si="19">IF(D118&lt;$B$7,D118,$B$7-B119)</f>
        <v>0</v>
      </c>
      <c r="D119" s="86">
        <f t="shared" ref="D119:D129" si="20">IF(D118-C119&gt;0,D118-C119,0)</f>
        <v>0</v>
      </c>
      <c r="E119" s="67"/>
    </row>
    <row r="120" spans="1:5" x14ac:dyDescent="0.2">
      <c r="A120" s="67" t="str">
        <f>IF(D119&gt;0.005,"March","")</f>
        <v/>
      </c>
      <c r="B120" s="86">
        <f t="shared" si="18"/>
        <v>0</v>
      </c>
      <c r="C120" s="86">
        <f t="shared" si="19"/>
        <v>0</v>
      </c>
      <c r="D120" s="86">
        <f t="shared" si="20"/>
        <v>0</v>
      </c>
      <c r="E120" s="67"/>
    </row>
    <row r="121" spans="1:5" x14ac:dyDescent="0.2">
      <c r="A121" s="67" t="str">
        <f>IF(D120&gt;0.005,"April","")</f>
        <v/>
      </c>
      <c r="B121" s="86">
        <f t="shared" si="18"/>
        <v>0</v>
      </c>
      <c r="C121" s="86">
        <f t="shared" si="19"/>
        <v>0</v>
      </c>
      <c r="D121" s="86">
        <f t="shared" si="20"/>
        <v>0</v>
      </c>
      <c r="E121" s="67"/>
    </row>
    <row r="122" spans="1:5" x14ac:dyDescent="0.2">
      <c r="A122" s="67" t="str">
        <f>IF(D121&gt;0.005,"May","")</f>
        <v/>
      </c>
      <c r="B122" s="86">
        <f t="shared" si="18"/>
        <v>0</v>
      </c>
      <c r="C122" s="86">
        <f t="shared" si="19"/>
        <v>0</v>
      </c>
      <c r="D122" s="86">
        <f t="shared" si="20"/>
        <v>0</v>
      </c>
      <c r="E122" s="67"/>
    </row>
    <row r="123" spans="1:5" x14ac:dyDescent="0.2">
      <c r="A123" s="67" t="str">
        <f>IF(D122&gt;0.005,"June","")</f>
        <v/>
      </c>
      <c r="B123" s="86">
        <f t="shared" si="18"/>
        <v>0</v>
      </c>
      <c r="C123" s="86">
        <f t="shared" si="19"/>
        <v>0</v>
      </c>
      <c r="D123" s="86">
        <f t="shared" si="20"/>
        <v>0</v>
      </c>
      <c r="E123" s="67"/>
    </row>
    <row r="124" spans="1:5" x14ac:dyDescent="0.2">
      <c r="A124" s="67" t="str">
        <f>IF(D123&gt;0.005,"July","")</f>
        <v/>
      </c>
      <c r="B124" s="86">
        <f t="shared" si="18"/>
        <v>0</v>
      </c>
      <c r="C124" s="86">
        <f t="shared" si="19"/>
        <v>0</v>
      </c>
      <c r="D124" s="86">
        <f t="shared" si="20"/>
        <v>0</v>
      </c>
      <c r="E124" s="67"/>
    </row>
    <row r="125" spans="1:5" x14ac:dyDescent="0.2">
      <c r="A125" s="67" t="str">
        <f>IF(D124&gt;0.005,"August","")</f>
        <v/>
      </c>
      <c r="B125" s="86">
        <f t="shared" si="18"/>
        <v>0</v>
      </c>
      <c r="C125" s="86">
        <f t="shared" si="19"/>
        <v>0</v>
      </c>
      <c r="D125" s="86">
        <f t="shared" si="20"/>
        <v>0</v>
      </c>
      <c r="E125" s="67"/>
    </row>
    <row r="126" spans="1:5" x14ac:dyDescent="0.2">
      <c r="A126" s="67" t="str">
        <f>IF(D125&gt;0.005,"September","")</f>
        <v/>
      </c>
      <c r="B126" s="86">
        <f t="shared" si="18"/>
        <v>0</v>
      </c>
      <c r="C126" s="86">
        <f t="shared" si="19"/>
        <v>0</v>
      </c>
      <c r="D126" s="86">
        <f t="shared" si="20"/>
        <v>0</v>
      </c>
      <c r="E126" s="67"/>
    </row>
    <row r="127" spans="1:5" x14ac:dyDescent="0.2">
      <c r="A127" s="67" t="str">
        <f>IF(D126&gt;0.005,"October","")</f>
        <v/>
      </c>
      <c r="B127" s="86">
        <f t="shared" si="18"/>
        <v>0</v>
      </c>
      <c r="C127" s="86">
        <f t="shared" si="19"/>
        <v>0</v>
      </c>
      <c r="D127" s="86">
        <f t="shared" si="20"/>
        <v>0</v>
      </c>
      <c r="E127" s="67"/>
    </row>
    <row r="128" spans="1:5" x14ac:dyDescent="0.2">
      <c r="A128" s="67" t="str">
        <f>IF(D127&gt;0.005,"November","")</f>
        <v/>
      </c>
      <c r="B128" s="86">
        <f t="shared" si="18"/>
        <v>0</v>
      </c>
      <c r="C128" s="86">
        <f t="shared" si="19"/>
        <v>0</v>
      </c>
      <c r="D128" s="86">
        <f t="shared" si="20"/>
        <v>0</v>
      </c>
      <c r="E128" s="67"/>
    </row>
    <row r="129" spans="1:5" x14ac:dyDescent="0.2">
      <c r="A129" s="67" t="str">
        <f>IF(D128&gt;0.005,"December","")</f>
        <v/>
      </c>
      <c r="B129" s="86">
        <f t="shared" si="18"/>
        <v>0</v>
      </c>
      <c r="C129" s="86">
        <f t="shared" si="19"/>
        <v>0</v>
      </c>
      <c r="D129" s="86">
        <f t="shared" si="20"/>
        <v>0</v>
      </c>
      <c r="E129" s="67"/>
    </row>
    <row r="130" spans="1:5" x14ac:dyDescent="0.2">
      <c r="A130" s="87" t="str">
        <f>"Total "&amp;YEAR($A$10)+7</f>
        <v>Total 2010</v>
      </c>
      <c r="B130" s="88">
        <f>SUM(B118:B129)</f>
        <v>0</v>
      </c>
      <c r="C130" s="88">
        <f>SUM(C118:C129)</f>
        <v>0</v>
      </c>
      <c r="D130" s="89"/>
      <c r="E130" s="67"/>
    </row>
    <row r="131" spans="1:5" x14ac:dyDescent="0.2">
      <c r="A131" s="69"/>
      <c r="B131" s="90"/>
      <c r="C131" s="90"/>
      <c r="D131" s="86"/>
      <c r="E131" s="67"/>
    </row>
    <row r="132" spans="1:5" x14ac:dyDescent="0.2">
      <c r="A132" s="67"/>
      <c r="B132" s="84" t="s">
        <v>69</v>
      </c>
      <c r="C132" s="84" t="s">
        <v>70</v>
      </c>
      <c r="D132" s="84" t="s">
        <v>71</v>
      </c>
      <c r="E132" s="67"/>
    </row>
    <row r="133" spans="1:5" x14ac:dyDescent="0.2">
      <c r="A133" s="67" t="str">
        <f>IF(D129&gt;0.005,"January","")</f>
        <v/>
      </c>
      <c r="B133" s="86">
        <f>IF(D129&gt;0,ROUND(D129*($D$5/1200),2),0)</f>
        <v>0</v>
      </c>
      <c r="C133" s="86">
        <f>IF(D129&lt;$B$7,D129,$B$7-B133)</f>
        <v>0</v>
      </c>
      <c r="D133" s="86">
        <f>IF(D129-C133&gt;0,D129-C133,0)</f>
        <v>0</v>
      </c>
      <c r="E133" s="67"/>
    </row>
    <row r="134" spans="1:5" x14ac:dyDescent="0.2">
      <c r="A134" s="67" t="str">
        <f>IF(D133&gt;0.005,"February","")</f>
        <v/>
      </c>
      <c r="B134" s="86">
        <f t="shared" ref="B134:B144" si="21">IF(D133&gt;0,ROUND(D133*($D$5/1200),2),0)</f>
        <v>0</v>
      </c>
      <c r="C134" s="86">
        <f t="shared" ref="C134:C144" si="22">IF(D133&lt;$B$7,D133,$B$7-B134)</f>
        <v>0</v>
      </c>
      <c r="D134" s="86">
        <f t="shared" ref="D134:D144" si="23">IF(D133-C134&gt;0,D133-C134,0)</f>
        <v>0</v>
      </c>
      <c r="E134" s="67"/>
    </row>
    <row r="135" spans="1:5" x14ac:dyDescent="0.2">
      <c r="A135" s="67" t="str">
        <f>IF(D134&gt;0.005,"March","")</f>
        <v/>
      </c>
      <c r="B135" s="86">
        <f t="shared" si="21"/>
        <v>0</v>
      </c>
      <c r="C135" s="86">
        <f t="shared" si="22"/>
        <v>0</v>
      </c>
      <c r="D135" s="86">
        <f t="shared" si="23"/>
        <v>0</v>
      </c>
      <c r="E135" s="67"/>
    </row>
    <row r="136" spans="1:5" x14ac:dyDescent="0.2">
      <c r="A136" s="67" t="str">
        <f>IF(D135&gt;0.005,"April","")</f>
        <v/>
      </c>
      <c r="B136" s="86">
        <f t="shared" si="21"/>
        <v>0</v>
      </c>
      <c r="C136" s="86">
        <f t="shared" si="22"/>
        <v>0</v>
      </c>
      <c r="D136" s="86">
        <f t="shared" si="23"/>
        <v>0</v>
      </c>
      <c r="E136" s="67"/>
    </row>
    <row r="137" spans="1:5" x14ac:dyDescent="0.2">
      <c r="A137" s="67" t="str">
        <f>IF(D136&gt;0.005,"May","")</f>
        <v/>
      </c>
      <c r="B137" s="86">
        <f t="shared" si="21"/>
        <v>0</v>
      </c>
      <c r="C137" s="86">
        <f t="shared" si="22"/>
        <v>0</v>
      </c>
      <c r="D137" s="86">
        <f t="shared" si="23"/>
        <v>0</v>
      </c>
      <c r="E137" s="67"/>
    </row>
    <row r="138" spans="1:5" x14ac:dyDescent="0.2">
      <c r="A138" s="67" t="str">
        <f>IF(D137&gt;0.005,"June","")</f>
        <v/>
      </c>
      <c r="B138" s="86">
        <f t="shared" si="21"/>
        <v>0</v>
      </c>
      <c r="C138" s="86">
        <f t="shared" si="22"/>
        <v>0</v>
      </c>
      <c r="D138" s="86">
        <f t="shared" si="23"/>
        <v>0</v>
      </c>
      <c r="E138" s="67"/>
    </row>
    <row r="139" spans="1:5" x14ac:dyDescent="0.2">
      <c r="A139" s="67" t="str">
        <f>IF(D138&gt;0.005,"July","")</f>
        <v/>
      </c>
      <c r="B139" s="86">
        <f t="shared" si="21"/>
        <v>0</v>
      </c>
      <c r="C139" s="86">
        <f t="shared" si="22"/>
        <v>0</v>
      </c>
      <c r="D139" s="86">
        <f t="shared" si="23"/>
        <v>0</v>
      </c>
      <c r="E139" s="67"/>
    </row>
    <row r="140" spans="1:5" x14ac:dyDescent="0.2">
      <c r="A140" s="67" t="str">
        <f>IF(D139&gt;0.005,"August","")</f>
        <v/>
      </c>
      <c r="B140" s="86">
        <f t="shared" si="21"/>
        <v>0</v>
      </c>
      <c r="C140" s="86">
        <f t="shared" si="22"/>
        <v>0</v>
      </c>
      <c r="D140" s="86">
        <f t="shared" si="23"/>
        <v>0</v>
      </c>
      <c r="E140" s="67"/>
    </row>
    <row r="141" spans="1:5" x14ac:dyDescent="0.2">
      <c r="A141" s="67" t="str">
        <f>IF(D140&gt;0.005,"September","")</f>
        <v/>
      </c>
      <c r="B141" s="86">
        <f t="shared" si="21"/>
        <v>0</v>
      </c>
      <c r="C141" s="86">
        <f t="shared" si="22"/>
        <v>0</v>
      </c>
      <c r="D141" s="86">
        <f t="shared" si="23"/>
        <v>0</v>
      </c>
      <c r="E141" s="67"/>
    </row>
    <row r="142" spans="1:5" x14ac:dyDescent="0.2">
      <c r="A142" s="67" t="str">
        <f>IF(D141&gt;0.005,"October","")</f>
        <v/>
      </c>
      <c r="B142" s="86">
        <f t="shared" si="21"/>
        <v>0</v>
      </c>
      <c r="C142" s="86">
        <f t="shared" si="22"/>
        <v>0</v>
      </c>
      <c r="D142" s="86">
        <f t="shared" si="23"/>
        <v>0</v>
      </c>
      <c r="E142" s="67"/>
    </row>
    <row r="143" spans="1:5" x14ac:dyDescent="0.2">
      <c r="A143" s="67" t="str">
        <f>IF(D142&gt;0.005,"November","")</f>
        <v/>
      </c>
      <c r="B143" s="86">
        <f t="shared" si="21"/>
        <v>0</v>
      </c>
      <c r="C143" s="86">
        <f t="shared" si="22"/>
        <v>0</v>
      </c>
      <c r="D143" s="86">
        <f t="shared" si="23"/>
        <v>0</v>
      </c>
      <c r="E143" s="67"/>
    </row>
    <row r="144" spans="1:5" x14ac:dyDescent="0.2">
      <c r="A144" s="67" t="str">
        <f>IF(D143&gt;0.005,"December","")</f>
        <v/>
      </c>
      <c r="B144" s="86">
        <f t="shared" si="21"/>
        <v>0</v>
      </c>
      <c r="C144" s="86">
        <f t="shared" si="22"/>
        <v>0</v>
      </c>
      <c r="D144" s="86">
        <f t="shared" si="23"/>
        <v>0</v>
      </c>
      <c r="E144" s="67"/>
    </row>
    <row r="145" spans="1:5" x14ac:dyDescent="0.2">
      <c r="A145" s="87" t="str">
        <f>"Total "&amp;YEAR($A$10)+8</f>
        <v>Total 2011</v>
      </c>
      <c r="B145" s="88">
        <f>SUM(B133:B144)</f>
        <v>0</v>
      </c>
      <c r="C145" s="88">
        <f>SUM(C133:C144)</f>
        <v>0</v>
      </c>
      <c r="D145" s="89"/>
      <c r="E145" s="67"/>
    </row>
    <row r="146" spans="1:5" x14ac:dyDescent="0.2">
      <c r="A146" s="67"/>
      <c r="B146" s="86"/>
      <c r="C146" s="86"/>
      <c r="D146" s="86"/>
      <c r="E146" s="67"/>
    </row>
    <row r="147" spans="1:5" x14ac:dyDescent="0.2">
      <c r="A147" s="67"/>
      <c r="B147" s="84" t="s">
        <v>69</v>
      </c>
      <c r="C147" s="84" t="s">
        <v>70</v>
      </c>
      <c r="D147" s="84" t="s">
        <v>71</v>
      </c>
      <c r="E147" s="67"/>
    </row>
    <row r="148" spans="1:5" x14ac:dyDescent="0.2">
      <c r="A148" s="67" t="str">
        <f>IF(D144&gt;0.005,"January","")</f>
        <v/>
      </c>
      <c r="B148" s="86">
        <f>IF(D144&gt;0,ROUND(D144*($D$5/1200),2),0)</f>
        <v>0</v>
      </c>
      <c r="C148" s="86">
        <f>IF(D144&lt;$B$7,D144,$B$7-B148)</f>
        <v>0</v>
      </c>
      <c r="D148" s="86">
        <f>IF(D144-C148&gt;0,D144-C148,0)</f>
        <v>0</v>
      </c>
      <c r="E148" s="67"/>
    </row>
    <row r="149" spans="1:5" x14ac:dyDescent="0.2">
      <c r="A149" s="67" t="str">
        <f>IF(D148&gt;0.005,"February","")</f>
        <v/>
      </c>
      <c r="B149" s="86">
        <f t="shared" ref="B149:B159" si="24">IF(D148&gt;0,ROUND(D148*($D$5/1200),2),0)</f>
        <v>0</v>
      </c>
      <c r="C149" s="86">
        <f t="shared" ref="C149:C159" si="25">IF(D148&lt;$B$7,D148,$B$7-B149)</f>
        <v>0</v>
      </c>
      <c r="D149" s="86">
        <f t="shared" ref="D149:D159" si="26">IF(D148-C149&gt;0,D148-C149,0)</f>
        <v>0</v>
      </c>
      <c r="E149" s="67"/>
    </row>
    <row r="150" spans="1:5" x14ac:dyDescent="0.2">
      <c r="A150" s="67" t="str">
        <f>IF(D149&gt;0.005,"March","")</f>
        <v/>
      </c>
      <c r="B150" s="86">
        <f t="shared" si="24"/>
        <v>0</v>
      </c>
      <c r="C150" s="86">
        <f t="shared" si="25"/>
        <v>0</v>
      </c>
      <c r="D150" s="86">
        <f t="shared" si="26"/>
        <v>0</v>
      </c>
      <c r="E150" s="67"/>
    </row>
    <row r="151" spans="1:5" x14ac:dyDescent="0.2">
      <c r="A151" s="67" t="str">
        <f>IF(D150&gt;0.005,"April","")</f>
        <v/>
      </c>
      <c r="B151" s="86">
        <f t="shared" si="24"/>
        <v>0</v>
      </c>
      <c r="C151" s="86">
        <f t="shared" si="25"/>
        <v>0</v>
      </c>
      <c r="D151" s="86">
        <f t="shared" si="26"/>
        <v>0</v>
      </c>
      <c r="E151" s="67"/>
    </row>
    <row r="152" spans="1:5" x14ac:dyDescent="0.2">
      <c r="A152" s="67" t="str">
        <f>IF(D151&gt;0.005,"May","")</f>
        <v/>
      </c>
      <c r="B152" s="86">
        <f t="shared" si="24"/>
        <v>0</v>
      </c>
      <c r="C152" s="86">
        <f t="shared" si="25"/>
        <v>0</v>
      </c>
      <c r="D152" s="86">
        <f t="shared" si="26"/>
        <v>0</v>
      </c>
      <c r="E152" s="67"/>
    </row>
    <row r="153" spans="1:5" x14ac:dyDescent="0.2">
      <c r="A153" s="67" t="str">
        <f>IF(D152&gt;0.005,"June","")</f>
        <v/>
      </c>
      <c r="B153" s="86">
        <f t="shared" si="24"/>
        <v>0</v>
      </c>
      <c r="C153" s="86">
        <f t="shared" si="25"/>
        <v>0</v>
      </c>
      <c r="D153" s="86">
        <f t="shared" si="26"/>
        <v>0</v>
      </c>
      <c r="E153" s="67"/>
    </row>
    <row r="154" spans="1:5" x14ac:dyDescent="0.2">
      <c r="A154" s="67" t="str">
        <f>IF(D153&gt;0.005,"July","")</f>
        <v/>
      </c>
      <c r="B154" s="86">
        <f t="shared" si="24"/>
        <v>0</v>
      </c>
      <c r="C154" s="86">
        <f t="shared" si="25"/>
        <v>0</v>
      </c>
      <c r="D154" s="86">
        <f t="shared" si="26"/>
        <v>0</v>
      </c>
      <c r="E154" s="67"/>
    </row>
    <row r="155" spans="1:5" x14ac:dyDescent="0.2">
      <c r="A155" s="67" t="str">
        <f>IF(D154&gt;0.005,"August","")</f>
        <v/>
      </c>
      <c r="B155" s="86">
        <f t="shared" si="24"/>
        <v>0</v>
      </c>
      <c r="C155" s="86">
        <f t="shared" si="25"/>
        <v>0</v>
      </c>
      <c r="D155" s="86">
        <f t="shared" si="26"/>
        <v>0</v>
      </c>
      <c r="E155" s="67"/>
    </row>
    <row r="156" spans="1:5" x14ac:dyDescent="0.2">
      <c r="A156" s="67" t="str">
        <f>IF(D155&gt;0.005,"September","")</f>
        <v/>
      </c>
      <c r="B156" s="86">
        <f t="shared" si="24"/>
        <v>0</v>
      </c>
      <c r="C156" s="86">
        <f t="shared" si="25"/>
        <v>0</v>
      </c>
      <c r="D156" s="86">
        <f t="shared" si="26"/>
        <v>0</v>
      </c>
      <c r="E156" s="67"/>
    </row>
    <row r="157" spans="1:5" x14ac:dyDescent="0.2">
      <c r="A157" s="67" t="str">
        <f>IF(D156&gt;0.005,"October","")</f>
        <v/>
      </c>
      <c r="B157" s="86">
        <f t="shared" si="24"/>
        <v>0</v>
      </c>
      <c r="C157" s="86">
        <f t="shared" si="25"/>
        <v>0</v>
      </c>
      <c r="D157" s="86">
        <f t="shared" si="26"/>
        <v>0</v>
      </c>
      <c r="E157" s="67"/>
    </row>
    <row r="158" spans="1:5" x14ac:dyDescent="0.2">
      <c r="A158" s="67" t="str">
        <f>IF(D157&gt;0.005,"November","")</f>
        <v/>
      </c>
      <c r="B158" s="86">
        <f t="shared" si="24"/>
        <v>0</v>
      </c>
      <c r="C158" s="86">
        <f t="shared" si="25"/>
        <v>0</v>
      </c>
      <c r="D158" s="86">
        <f t="shared" si="26"/>
        <v>0</v>
      </c>
      <c r="E158" s="67"/>
    </row>
    <row r="159" spans="1:5" x14ac:dyDescent="0.2">
      <c r="A159" s="67" t="str">
        <f>IF(D158&gt;0.005,"December","")</f>
        <v/>
      </c>
      <c r="B159" s="86">
        <f t="shared" si="24"/>
        <v>0</v>
      </c>
      <c r="C159" s="86">
        <f t="shared" si="25"/>
        <v>0</v>
      </c>
      <c r="D159" s="86">
        <f t="shared" si="26"/>
        <v>0</v>
      </c>
      <c r="E159" s="67"/>
    </row>
    <row r="160" spans="1:5" x14ac:dyDescent="0.2">
      <c r="A160" s="87" t="str">
        <f>"Total "&amp;YEAR($A$10)+9</f>
        <v>Total 2012</v>
      </c>
      <c r="B160" s="88">
        <f>SUM(B148:B159)</f>
        <v>0</v>
      </c>
      <c r="C160" s="88">
        <f>SUM(C148:C159)</f>
        <v>0</v>
      </c>
      <c r="D160" s="89"/>
      <c r="E160" s="67"/>
    </row>
    <row r="161" spans="1:5" x14ac:dyDescent="0.2">
      <c r="A161" s="67"/>
      <c r="B161" s="86"/>
      <c r="C161" s="86"/>
      <c r="D161" s="86"/>
      <c r="E161" s="67"/>
    </row>
    <row r="162" spans="1:5" x14ac:dyDescent="0.2">
      <c r="A162" s="67"/>
      <c r="B162" s="84" t="s">
        <v>69</v>
      </c>
      <c r="C162" s="84" t="s">
        <v>70</v>
      </c>
      <c r="D162" s="84" t="s">
        <v>71</v>
      </c>
      <c r="E162" s="67"/>
    </row>
    <row r="163" spans="1:5" x14ac:dyDescent="0.2">
      <c r="A163" s="67" t="str">
        <f>IF(D159&gt;0.005,"January","")</f>
        <v/>
      </c>
      <c r="B163" s="86">
        <f>IF(D159&gt;0,ROUND(D159*($D$5/1200),2),0)</f>
        <v>0</v>
      </c>
      <c r="C163" s="86">
        <f>IF(D159&lt;$B$7,D159,$B$7-B163)</f>
        <v>0</v>
      </c>
      <c r="D163" s="86">
        <f>IF(D159-C163&gt;0,D159-C163,0)</f>
        <v>0</v>
      </c>
      <c r="E163" s="67"/>
    </row>
    <row r="164" spans="1:5" x14ac:dyDescent="0.2">
      <c r="A164" s="67" t="str">
        <f>IF(D163&gt;0.005,"February","")</f>
        <v/>
      </c>
      <c r="B164" s="86">
        <f t="shared" ref="B164:B174" si="27">IF(D163&gt;0,ROUND(D163*($D$5/1200),2),0)</f>
        <v>0</v>
      </c>
      <c r="C164" s="86">
        <f t="shared" ref="C164:C174" si="28">IF(D163&lt;$B$7,D163,$B$7-B164)</f>
        <v>0</v>
      </c>
      <c r="D164" s="86">
        <f t="shared" ref="D164:D174" si="29">IF(D163-C164&gt;0,D163-C164,0)</f>
        <v>0</v>
      </c>
      <c r="E164" s="67"/>
    </row>
    <row r="165" spans="1:5" x14ac:dyDescent="0.2">
      <c r="A165" s="67" t="str">
        <f>IF(D164&gt;0.005,"March","")</f>
        <v/>
      </c>
      <c r="B165" s="86">
        <f t="shared" si="27"/>
        <v>0</v>
      </c>
      <c r="C165" s="86">
        <f t="shared" si="28"/>
        <v>0</v>
      </c>
      <c r="D165" s="86">
        <f t="shared" si="29"/>
        <v>0</v>
      </c>
      <c r="E165" s="67"/>
    </row>
    <row r="166" spans="1:5" x14ac:dyDescent="0.2">
      <c r="A166" s="67" t="str">
        <f>IF(D165&gt;0.005,"April","")</f>
        <v/>
      </c>
      <c r="B166" s="86">
        <f t="shared" si="27"/>
        <v>0</v>
      </c>
      <c r="C166" s="86">
        <f t="shared" si="28"/>
        <v>0</v>
      </c>
      <c r="D166" s="86">
        <f t="shared" si="29"/>
        <v>0</v>
      </c>
      <c r="E166" s="67"/>
    </row>
    <row r="167" spans="1:5" x14ac:dyDescent="0.2">
      <c r="A167" s="67" t="str">
        <f>IF(D166&gt;0.005,"May","")</f>
        <v/>
      </c>
      <c r="B167" s="86">
        <f t="shared" si="27"/>
        <v>0</v>
      </c>
      <c r="C167" s="86">
        <f t="shared" si="28"/>
        <v>0</v>
      </c>
      <c r="D167" s="86">
        <f t="shared" si="29"/>
        <v>0</v>
      </c>
      <c r="E167" s="67"/>
    </row>
    <row r="168" spans="1:5" x14ac:dyDescent="0.2">
      <c r="A168" s="67" t="str">
        <f>IF(D167&gt;0.005,"June","")</f>
        <v/>
      </c>
      <c r="B168" s="86">
        <f t="shared" si="27"/>
        <v>0</v>
      </c>
      <c r="C168" s="86">
        <f t="shared" si="28"/>
        <v>0</v>
      </c>
      <c r="D168" s="86">
        <f t="shared" si="29"/>
        <v>0</v>
      </c>
      <c r="E168" s="67"/>
    </row>
    <row r="169" spans="1:5" x14ac:dyDescent="0.2">
      <c r="A169" s="67" t="str">
        <f>IF(D168&gt;0.005,"July","")</f>
        <v/>
      </c>
      <c r="B169" s="86">
        <f t="shared" si="27"/>
        <v>0</v>
      </c>
      <c r="C169" s="86">
        <f t="shared" si="28"/>
        <v>0</v>
      </c>
      <c r="D169" s="86">
        <f t="shared" si="29"/>
        <v>0</v>
      </c>
      <c r="E169" s="67"/>
    </row>
    <row r="170" spans="1:5" x14ac:dyDescent="0.2">
      <c r="A170" s="67" t="str">
        <f>IF(D169&gt;0.005,"August","")</f>
        <v/>
      </c>
      <c r="B170" s="86">
        <f t="shared" si="27"/>
        <v>0</v>
      </c>
      <c r="C170" s="86">
        <f t="shared" si="28"/>
        <v>0</v>
      </c>
      <c r="D170" s="86">
        <f t="shared" si="29"/>
        <v>0</v>
      </c>
      <c r="E170" s="67"/>
    </row>
    <row r="171" spans="1:5" x14ac:dyDescent="0.2">
      <c r="A171" s="67" t="str">
        <f>IF(D170&gt;0.005,"September","")</f>
        <v/>
      </c>
      <c r="B171" s="86">
        <f t="shared" si="27"/>
        <v>0</v>
      </c>
      <c r="C171" s="86">
        <f t="shared" si="28"/>
        <v>0</v>
      </c>
      <c r="D171" s="86">
        <f t="shared" si="29"/>
        <v>0</v>
      </c>
      <c r="E171" s="67"/>
    </row>
    <row r="172" spans="1:5" x14ac:dyDescent="0.2">
      <c r="A172" s="67" t="str">
        <f>IF(D171&gt;0.005,"October","")</f>
        <v/>
      </c>
      <c r="B172" s="86">
        <f t="shared" si="27"/>
        <v>0</v>
      </c>
      <c r="C172" s="86">
        <f t="shared" si="28"/>
        <v>0</v>
      </c>
      <c r="D172" s="86">
        <f t="shared" si="29"/>
        <v>0</v>
      </c>
      <c r="E172" s="67"/>
    </row>
    <row r="173" spans="1:5" x14ac:dyDescent="0.2">
      <c r="A173" s="67" t="str">
        <f>IF(D172&gt;0.005,"November","")</f>
        <v/>
      </c>
      <c r="B173" s="86">
        <f t="shared" si="27"/>
        <v>0</v>
      </c>
      <c r="C173" s="86">
        <f t="shared" si="28"/>
        <v>0</v>
      </c>
      <c r="D173" s="86">
        <f t="shared" si="29"/>
        <v>0</v>
      </c>
      <c r="E173" s="67"/>
    </row>
    <row r="174" spans="1:5" x14ac:dyDescent="0.2">
      <c r="A174" s="67" t="str">
        <f>IF(D173&gt;0.005,"December","")</f>
        <v/>
      </c>
      <c r="B174" s="86">
        <f t="shared" si="27"/>
        <v>0</v>
      </c>
      <c r="C174" s="86">
        <f t="shared" si="28"/>
        <v>0</v>
      </c>
      <c r="D174" s="86">
        <f t="shared" si="29"/>
        <v>0</v>
      </c>
      <c r="E174" s="67"/>
    </row>
    <row r="175" spans="1:5" x14ac:dyDescent="0.2">
      <c r="A175" s="87" t="str">
        <f>"Total "&amp;YEAR($A$10)+10</f>
        <v>Total 2013</v>
      </c>
      <c r="B175" s="88">
        <f>SUM(B163:B174)</f>
        <v>0</v>
      </c>
      <c r="C175" s="88">
        <f>SUM(C163:C174)</f>
        <v>0</v>
      </c>
      <c r="D175" s="89"/>
      <c r="E175" s="67"/>
    </row>
    <row r="176" spans="1:5" x14ac:dyDescent="0.2">
      <c r="A176" s="69"/>
      <c r="B176" s="90"/>
      <c r="C176" s="90"/>
      <c r="D176" s="86"/>
      <c r="E176" s="67"/>
    </row>
    <row r="177" spans="1:5" x14ac:dyDescent="0.2">
      <c r="A177" s="67"/>
      <c r="B177" s="84" t="s">
        <v>69</v>
      </c>
      <c r="C177" s="84" t="s">
        <v>70</v>
      </c>
      <c r="D177" s="84" t="s">
        <v>71</v>
      </c>
      <c r="E177" s="67"/>
    </row>
    <row r="178" spans="1:5" x14ac:dyDescent="0.2">
      <c r="A178" s="67" t="str">
        <f>IF(D174&gt;0.005,"January","")</f>
        <v/>
      </c>
      <c r="B178" s="86">
        <f>IF(D174&gt;0,ROUND(D174*($D$5/1200),2),0)</f>
        <v>0</v>
      </c>
      <c r="C178" s="86">
        <f>IF(D174&lt;$B$7,D174,$B$7-B178)</f>
        <v>0</v>
      </c>
      <c r="D178" s="86">
        <f>IF(D174-C178&gt;0,D174-C178,0)</f>
        <v>0</v>
      </c>
      <c r="E178" s="67"/>
    </row>
    <row r="179" spans="1:5" x14ac:dyDescent="0.2">
      <c r="A179" s="67" t="str">
        <f>IF(D178&gt;0.005,"February","")</f>
        <v/>
      </c>
      <c r="B179" s="86">
        <f t="shared" ref="B179:B189" si="30">IF(D178&gt;0,ROUND(D178*($D$5/1200),2),0)</f>
        <v>0</v>
      </c>
      <c r="C179" s="86">
        <f t="shared" ref="C179:C189" si="31">IF(D178&lt;$B$7,D178,$B$7-B179)</f>
        <v>0</v>
      </c>
      <c r="D179" s="86">
        <f t="shared" ref="D179:D189" si="32">IF(D178-C179&gt;0,D178-C179,0)</f>
        <v>0</v>
      </c>
      <c r="E179" s="67"/>
    </row>
    <row r="180" spans="1:5" x14ac:dyDescent="0.2">
      <c r="A180" s="67" t="str">
        <f>IF(D179&gt;0.005,"March","")</f>
        <v/>
      </c>
      <c r="B180" s="86">
        <f t="shared" si="30"/>
        <v>0</v>
      </c>
      <c r="C180" s="86">
        <f t="shared" si="31"/>
        <v>0</v>
      </c>
      <c r="D180" s="86">
        <f t="shared" si="32"/>
        <v>0</v>
      </c>
      <c r="E180" s="67"/>
    </row>
    <row r="181" spans="1:5" x14ac:dyDescent="0.2">
      <c r="A181" s="67" t="str">
        <f>IF(D180&gt;0.005,"April","")</f>
        <v/>
      </c>
      <c r="B181" s="86">
        <f t="shared" si="30"/>
        <v>0</v>
      </c>
      <c r="C181" s="86">
        <f t="shared" si="31"/>
        <v>0</v>
      </c>
      <c r="D181" s="86">
        <f t="shared" si="32"/>
        <v>0</v>
      </c>
      <c r="E181" s="67"/>
    </row>
    <row r="182" spans="1:5" x14ac:dyDescent="0.2">
      <c r="A182" s="67" t="str">
        <f>IF(D181&gt;0.005,"May","")</f>
        <v/>
      </c>
      <c r="B182" s="86">
        <f t="shared" si="30"/>
        <v>0</v>
      </c>
      <c r="C182" s="86">
        <f t="shared" si="31"/>
        <v>0</v>
      </c>
      <c r="D182" s="86">
        <f t="shared" si="32"/>
        <v>0</v>
      </c>
      <c r="E182" s="67"/>
    </row>
    <row r="183" spans="1:5" x14ac:dyDescent="0.2">
      <c r="A183" s="67" t="str">
        <f>IF(D182&gt;0.005,"June","")</f>
        <v/>
      </c>
      <c r="B183" s="86">
        <f t="shared" si="30"/>
        <v>0</v>
      </c>
      <c r="C183" s="86">
        <f t="shared" si="31"/>
        <v>0</v>
      </c>
      <c r="D183" s="86">
        <f t="shared" si="32"/>
        <v>0</v>
      </c>
      <c r="E183" s="67"/>
    </row>
    <row r="184" spans="1:5" x14ac:dyDescent="0.2">
      <c r="A184" s="67" t="str">
        <f>IF(D183&gt;0.005,"July","")</f>
        <v/>
      </c>
      <c r="B184" s="86">
        <f t="shared" si="30"/>
        <v>0</v>
      </c>
      <c r="C184" s="86">
        <f t="shared" si="31"/>
        <v>0</v>
      </c>
      <c r="D184" s="86">
        <f t="shared" si="32"/>
        <v>0</v>
      </c>
      <c r="E184" s="67"/>
    </row>
    <row r="185" spans="1:5" x14ac:dyDescent="0.2">
      <c r="A185" s="67" t="str">
        <f>IF(D184&gt;0.005,"August","")</f>
        <v/>
      </c>
      <c r="B185" s="86">
        <f t="shared" si="30"/>
        <v>0</v>
      </c>
      <c r="C185" s="86">
        <f t="shared" si="31"/>
        <v>0</v>
      </c>
      <c r="D185" s="86">
        <f t="shared" si="32"/>
        <v>0</v>
      </c>
      <c r="E185" s="67"/>
    </row>
    <row r="186" spans="1:5" x14ac:dyDescent="0.2">
      <c r="A186" s="67" t="str">
        <f>IF(D185&gt;0.005,"September","")</f>
        <v/>
      </c>
      <c r="B186" s="86">
        <f t="shared" si="30"/>
        <v>0</v>
      </c>
      <c r="C186" s="86">
        <f t="shared" si="31"/>
        <v>0</v>
      </c>
      <c r="D186" s="86">
        <f t="shared" si="32"/>
        <v>0</v>
      </c>
      <c r="E186" s="67"/>
    </row>
    <row r="187" spans="1:5" x14ac:dyDescent="0.2">
      <c r="A187" s="67" t="str">
        <f>IF(D186&gt;0.005,"October","")</f>
        <v/>
      </c>
      <c r="B187" s="86">
        <f t="shared" si="30"/>
        <v>0</v>
      </c>
      <c r="C187" s="86">
        <f t="shared" si="31"/>
        <v>0</v>
      </c>
      <c r="D187" s="86">
        <f t="shared" si="32"/>
        <v>0</v>
      </c>
      <c r="E187" s="67"/>
    </row>
    <row r="188" spans="1:5" x14ac:dyDescent="0.2">
      <c r="A188" s="67" t="str">
        <f>IF(D187&gt;0.005,"November","")</f>
        <v/>
      </c>
      <c r="B188" s="86">
        <f t="shared" si="30"/>
        <v>0</v>
      </c>
      <c r="C188" s="86">
        <f t="shared" si="31"/>
        <v>0</v>
      </c>
      <c r="D188" s="86">
        <f t="shared" si="32"/>
        <v>0</v>
      </c>
      <c r="E188" s="67"/>
    </row>
    <row r="189" spans="1:5" x14ac:dyDescent="0.2">
      <c r="A189" s="67" t="str">
        <f>IF(D188&gt;0.005,"December","")</f>
        <v/>
      </c>
      <c r="B189" s="86">
        <f t="shared" si="30"/>
        <v>0</v>
      </c>
      <c r="C189" s="86">
        <f t="shared" si="31"/>
        <v>0</v>
      </c>
      <c r="D189" s="86">
        <f t="shared" si="32"/>
        <v>0</v>
      </c>
      <c r="E189" s="67"/>
    </row>
    <row r="190" spans="1:5" x14ac:dyDescent="0.2">
      <c r="A190" s="87" t="str">
        <f>"Total "&amp;YEAR($A$10)+11</f>
        <v>Total 2014</v>
      </c>
      <c r="B190" s="88">
        <f>SUM(B178:B189)</f>
        <v>0</v>
      </c>
      <c r="C190" s="88">
        <f>SUM(C178:C189)</f>
        <v>0</v>
      </c>
      <c r="D190" s="89"/>
      <c r="E190" s="67"/>
    </row>
    <row r="191" spans="1:5" x14ac:dyDescent="0.2">
      <c r="A191" s="67"/>
      <c r="B191" s="86"/>
      <c r="C191" s="86"/>
      <c r="D191" s="86"/>
      <c r="E191" s="67"/>
    </row>
    <row r="192" spans="1:5" x14ac:dyDescent="0.2">
      <c r="A192" s="67"/>
      <c r="B192" s="84" t="s">
        <v>69</v>
      </c>
      <c r="C192" s="84" t="s">
        <v>70</v>
      </c>
      <c r="D192" s="84" t="s">
        <v>71</v>
      </c>
      <c r="E192" s="67"/>
    </row>
    <row r="193" spans="1:5" x14ac:dyDescent="0.2">
      <c r="A193" s="67" t="str">
        <f>IF(D189&gt;0.005,"January","")</f>
        <v/>
      </c>
      <c r="B193" s="86">
        <f>IF(D189&gt;0,ROUND(D189*($D$5/1200),2),0)</f>
        <v>0</v>
      </c>
      <c r="C193" s="86">
        <f>IF(D189&lt;$B$7,D189,$B$7-B193)</f>
        <v>0</v>
      </c>
      <c r="D193" s="86">
        <f>IF(D189-C193&gt;0,D189-C193,0)</f>
        <v>0</v>
      </c>
      <c r="E193" s="67"/>
    </row>
    <row r="194" spans="1:5" x14ac:dyDescent="0.2">
      <c r="A194" s="67" t="str">
        <f>IF(D193&gt;0.005,"February","")</f>
        <v/>
      </c>
      <c r="B194" s="86">
        <f t="shared" ref="B194:B204" si="33">IF(D193&gt;0,ROUND(D193*($D$5/1200),2),0)</f>
        <v>0</v>
      </c>
      <c r="C194" s="86">
        <f t="shared" ref="C194:C204" si="34">IF(D193&lt;$B$7,D193,$B$7-B194)</f>
        <v>0</v>
      </c>
      <c r="D194" s="86">
        <f t="shared" ref="D194:D204" si="35">IF(D193-C194&gt;0,D193-C194,0)</f>
        <v>0</v>
      </c>
      <c r="E194" s="67"/>
    </row>
    <row r="195" spans="1:5" x14ac:dyDescent="0.2">
      <c r="A195" s="67" t="str">
        <f>IF(D194&gt;0.005,"March","")</f>
        <v/>
      </c>
      <c r="B195" s="86">
        <f t="shared" si="33"/>
        <v>0</v>
      </c>
      <c r="C195" s="86">
        <f t="shared" si="34"/>
        <v>0</v>
      </c>
      <c r="D195" s="86">
        <f t="shared" si="35"/>
        <v>0</v>
      </c>
      <c r="E195" s="67"/>
    </row>
    <row r="196" spans="1:5" x14ac:dyDescent="0.2">
      <c r="A196" s="67" t="str">
        <f>IF(D195&gt;0.005,"April","")</f>
        <v/>
      </c>
      <c r="B196" s="86">
        <f t="shared" si="33"/>
        <v>0</v>
      </c>
      <c r="C196" s="86">
        <f t="shared" si="34"/>
        <v>0</v>
      </c>
      <c r="D196" s="86">
        <f t="shared" si="35"/>
        <v>0</v>
      </c>
      <c r="E196" s="67"/>
    </row>
    <row r="197" spans="1:5" x14ac:dyDescent="0.2">
      <c r="A197" s="67" t="str">
        <f>IF(D196&gt;0.005,"May","")</f>
        <v/>
      </c>
      <c r="B197" s="86">
        <f t="shared" si="33"/>
        <v>0</v>
      </c>
      <c r="C197" s="86">
        <f t="shared" si="34"/>
        <v>0</v>
      </c>
      <c r="D197" s="86">
        <f t="shared" si="35"/>
        <v>0</v>
      </c>
      <c r="E197" s="67"/>
    </row>
    <row r="198" spans="1:5" x14ac:dyDescent="0.2">
      <c r="A198" s="67" t="str">
        <f>IF(D197&gt;0.005,"June","")</f>
        <v/>
      </c>
      <c r="B198" s="86">
        <f t="shared" si="33"/>
        <v>0</v>
      </c>
      <c r="C198" s="86">
        <f t="shared" si="34"/>
        <v>0</v>
      </c>
      <c r="D198" s="86">
        <f t="shared" si="35"/>
        <v>0</v>
      </c>
      <c r="E198" s="67"/>
    </row>
    <row r="199" spans="1:5" x14ac:dyDescent="0.2">
      <c r="A199" s="67" t="str">
        <f>IF(D198&gt;0.005,"July","")</f>
        <v/>
      </c>
      <c r="B199" s="86">
        <f t="shared" si="33"/>
        <v>0</v>
      </c>
      <c r="C199" s="86">
        <f t="shared" si="34"/>
        <v>0</v>
      </c>
      <c r="D199" s="86">
        <f t="shared" si="35"/>
        <v>0</v>
      </c>
      <c r="E199" s="67"/>
    </row>
    <row r="200" spans="1:5" x14ac:dyDescent="0.2">
      <c r="A200" s="67" t="str">
        <f>IF(D199&gt;0.005,"August","")</f>
        <v/>
      </c>
      <c r="B200" s="86">
        <f t="shared" si="33"/>
        <v>0</v>
      </c>
      <c r="C200" s="86">
        <f t="shared" si="34"/>
        <v>0</v>
      </c>
      <c r="D200" s="86">
        <f t="shared" si="35"/>
        <v>0</v>
      </c>
      <c r="E200" s="67"/>
    </row>
    <row r="201" spans="1:5" x14ac:dyDescent="0.2">
      <c r="A201" s="67" t="str">
        <f>IF(D200&gt;0.005,"September","")</f>
        <v/>
      </c>
      <c r="B201" s="86">
        <f t="shared" si="33"/>
        <v>0</v>
      </c>
      <c r="C201" s="86">
        <f t="shared" si="34"/>
        <v>0</v>
      </c>
      <c r="D201" s="86">
        <f t="shared" si="35"/>
        <v>0</v>
      </c>
      <c r="E201" s="67"/>
    </row>
    <row r="202" spans="1:5" x14ac:dyDescent="0.2">
      <c r="A202" s="67" t="str">
        <f>IF(D201&gt;0.005,"October","")</f>
        <v/>
      </c>
      <c r="B202" s="86">
        <f t="shared" si="33"/>
        <v>0</v>
      </c>
      <c r="C202" s="86">
        <f t="shared" si="34"/>
        <v>0</v>
      </c>
      <c r="D202" s="86">
        <f t="shared" si="35"/>
        <v>0</v>
      </c>
      <c r="E202" s="67"/>
    </row>
    <row r="203" spans="1:5" x14ac:dyDescent="0.2">
      <c r="A203" s="67" t="str">
        <f>IF(D202&gt;0.005,"November","")</f>
        <v/>
      </c>
      <c r="B203" s="86">
        <f t="shared" si="33"/>
        <v>0</v>
      </c>
      <c r="C203" s="86">
        <f t="shared" si="34"/>
        <v>0</v>
      </c>
      <c r="D203" s="86">
        <f t="shared" si="35"/>
        <v>0</v>
      </c>
      <c r="E203" s="67"/>
    </row>
    <row r="204" spans="1:5" x14ac:dyDescent="0.2">
      <c r="A204" s="67" t="str">
        <f>IF(D203&gt;0.005,"December","")</f>
        <v/>
      </c>
      <c r="B204" s="86">
        <f t="shared" si="33"/>
        <v>0</v>
      </c>
      <c r="C204" s="86">
        <f t="shared" si="34"/>
        <v>0</v>
      </c>
      <c r="D204" s="86">
        <f t="shared" si="35"/>
        <v>0</v>
      </c>
      <c r="E204" s="67"/>
    </row>
    <row r="205" spans="1:5" x14ac:dyDescent="0.2">
      <c r="A205" s="87" t="str">
        <f>"Total "&amp;YEAR($A$10)+12</f>
        <v>Total 2015</v>
      </c>
      <c r="B205" s="88">
        <f>SUM(B193:B204)</f>
        <v>0</v>
      </c>
      <c r="C205" s="88">
        <f>SUM(C193:C204)</f>
        <v>0</v>
      </c>
      <c r="D205" s="89"/>
      <c r="E205" s="67"/>
    </row>
    <row r="206" spans="1:5" x14ac:dyDescent="0.2">
      <c r="A206" s="67"/>
      <c r="B206" s="86"/>
      <c r="C206" s="86"/>
      <c r="D206" s="86"/>
      <c r="E206" s="67"/>
    </row>
    <row r="207" spans="1:5" x14ac:dyDescent="0.2">
      <c r="A207" s="67"/>
      <c r="B207" s="84" t="s">
        <v>69</v>
      </c>
      <c r="C207" s="84" t="s">
        <v>70</v>
      </c>
      <c r="D207" s="84" t="s">
        <v>71</v>
      </c>
      <c r="E207" s="67"/>
    </row>
    <row r="208" spans="1:5" x14ac:dyDescent="0.2">
      <c r="A208" s="67" t="str">
        <f>IF(D204&gt;0.005,"January","")</f>
        <v/>
      </c>
      <c r="B208" s="86">
        <f>IF(D204&gt;0,ROUND(D204*($D$5/1200),2),0)</f>
        <v>0</v>
      </c>
      <c r="C208" s="86">
        <f>IF(D204&lt;$B$7,D204,$B$7-B208)</f>
        <v>0</v>
      </c>
      <c r="D208" s="86">
        <f>IF(D204-C208&gt;0,D204-C208,0)</f>
        <v>0</v>
      </c>
      <c r="E208" s="67"/>
    </row>
    <row r="209" spans="1:5" x14ac:dyDescent="0.2">
      <c r="A209" s="67" t="str">
        <f>IF(D208&gt;0.005,"February","")</f>
        <v/>
      </c>
      <c r="B209" s="86">
        <f t="shared" ref="B209:B219" si="36">IF(D208&gt;0,ROUND(D208*($D$5/1200),2),0)</f>
        <v>0</v>
      </c>
      <c r="C209" s="86">
        <f t="shared" ref="C209:C219" si="37">IF(D208&lt;$B$7,D208,$B$7-B209)</f>
        <v>0</v>
      </c>
      <c r="D209" s="86">
        <f t="shared" ref="D209:D219" si="38">IF(D208-C209&gt;0,D208-C209,0)</f>
        <v>0</v>
      </c>
      <c r="E209" s="67"/>
    </row>
    <row r="210" spans="1:5" x14ac:dyDescent="0.2">
      <c r="A210" s="67" t="str">
        <f>IF(D209&gt;0.005,"March","")</f>
        <v/>
      </c>
      <c r="B210" s="86">
        <f t="shared" si="36"/>
        <v>0</v>
      </c>
      <c r="C210" s="86">
        <f t="shared" si="37"/>
        <v>0</v>
      </c>
      <c r="D210" s="86">
        <f t="shared" si="38"/>
        <v>0</v>
      </c>
      <c r="E210" s="67"/>
    </row>
    <row r="211" spans="1:5" x14ac:dyDescent="0.2">
      <c r="A211" s="67" t="str">
        <f>IF(D210&gt;0.005,"April","")</f>
        <v/>
      </c>
      <c r="B211" s="86">
        <f t="shared" si="36"/>
        <v>0</v>
      </c>
      <c r="C211" s="86">
        <f t="shared" si="37"/>
        <v>0</v>
      </c>
      <c r="D211" s="86">
        <f t="shared" si="38"/>
        <v>0</v>
      </c>
      <c r="E211" s="67"/>
    </row>
    <row r="212" spans="1:5" x14ac:dyDescent="0.2">
      <c r="A212" s="67" t="str">
        <f>IF(D211&gt;0.005,"May","")</f>
        <v/>
      </c>
      <c r="B212" s="86">
        <f t="shared" si="36"/>
        <v>0</v>
      </c>
      <c r="C212" s="86">
        <f t="shared" si="37"/>
        <v>0</v>
      </c>
      <c r="D212" s="86">
        <f t="shared" si="38"/>
        <v>0</v>
      </c>
      <c r="E212" s="67"/>
    </row>
    <row r="213" spans="1:5" x14ac:dyDescent="0.2">
      <c r="A213" s="67" t="str">
        <f>IF(D212&gt;0.005,"June","")</f>
        <v/>
      </c>
      <c r="B213" s="86">
        <f t="shared" si="36"/>
        <v>0</v>
      </c>
      <c r="C213" s="86">
        <f t="shared" si="37"/>
        <v>0</v>
      </c>
      <c r="D213" s="86">
        <f t="shared" si="38"/>
        <v>0</v>
      </c>
      <c r="E213" s="67"/>
    </row>
    <row r="214" spans="1:5" x14ac:dyDescent="0.2">
      <c r="A214" s="67" t="str">
        <f>IF(D213&gt;0.005,"July","")</f>
        <v/>
      </c>
      <c r="B214" s="86">
        <f t="shared" si="36"/>
        <v>0</v>
      </c>
      <c r="C214" s="86">
        <f t="shared" si="37"/>
        <v>0</v>
      </c>
      <c r="D214" s="86">
        <f t="shared" si="38"/>
        <v>0</v>
      </c>
      <c r="E214" s="67"/>
    </row>
    <row r="215" spans="1:5" x14ac:dyDescent="0.2">
      <c r="A215" s="67" t="str">
        <f>IF(D214&gt;0.005,"August","")</f>
        <v/>
      </c>
      <c r="B215" s="86">
        <f t="shared" si="36"/>
        <v>0</v>
      </c>
      <c r="C215" s="86">
        <f t="shared" si="37"/>
        <v>0</v>
      </c>
      <c r="D215" s="86">
        <f t="shared" si="38"/>
        <v>0</v>
      </c>
      <c r="E215" s="67"/>
    </row>
    <row r="216" spans="1:5" x14ac:dyDescent="0.2">
      <c r="A216" s="67" t="str">
        <f>IF(D215&gt;0.005,"September","")</f>
        <v/>
      </c>
      <c r="B216" s="86">
        <f t="shared" si="36"/>
        <v>0</v>
      </c>
      <c r="C216" s="86">
        <f t="shared" si="37"/>
        <v>0</v>
      </c>
      <c r="D216" s="86">
        <f t="shared" si="38"/>
        <v>0</v>
      </c>
      <c r="E216" s="67"/>
    </row>
    <row r="217" spans="1:5" x14ac:dyDescent="0.2">
      <c r="A217" s="67" t="str">
        <f>IF(D216&gt;0.005,"October","")</f>
        <v/>
      </c>
      <c r="B217" s="86">
        <f t="shared" si="36"/>
        <v>0</v>
      </c>
      <c r="C217" s="86">
        <f t="shared" si="37"/>
        <v>0</v>
      </c>
      <c r="D217" s="86">
        <f t="shared" si="38"/>
        <v>0</v>
      </c>
      <c r="E217" s="67"/>
    </row>
    <row r="218" spans="1:5" x14ac:dyDescent="0.2">
      <c r="A218" s="67" t="str">
        <f>IF(D217&gt;0.005,"November","")</f>
        <v/>
      </c>
      <c r="B218" s="86">
        <f t="shared" si="36"/>
        <v>0</v>
      </c>
      <c r="C218" s="86">
        <f t="shared" si="37"/>
        <v>0</v>
      </c>
      <c r="D218" s="86">
        <f t="shared" si="38"/>
        <v>0</v>
      </c>
      <c r="E218" s="67"/>
    </row>
    <row r="219" spans="1:5" x14ac:dyDescent="0.2">
      <c r="A219" s="67" t="str">
        <f>IF(D218&gt;0.005,"December","")</f>
        <v/>
      </c>
      <c r="B219" s="86">
        <f t="shared" si="36"/>
        <v>0</v>
      </c>
      <c r="C219" s="86">
        <f t="shared" si="37"/>
        <v>0</v>
      </c>
      <c r="D219" s="86">
        <f t="shared" si="38"/>
        <v>0</v>
      </c>
      <c r="E219" s="67"/>
    </row>
    <row r="220" spans="1:5" x14ac:dyDescent="0.2">
      <c r="A220" s="87" t="str">
        <f>"Total "&amp;YEAR($A$10)+13</f>
        <v>Total 2016</v>
      </c>
      <c r="B220" s="88">
        <f>SUM(B208:B219)</f>
        <v>0</v>
      </c>
      <c r="C220" s="88">
        <f>SUM(C208:C219)</f>
        <v>0</v>
      </c>
      <c r="D220" s="89"/>
      <c r="E220" s="67"/>
    </row>
    <row r="221" spans="1:5" x14ac:dyDescent="0.2">
      <c r="A221" s="69"/>
      <c r="B221" s="90"/>
      <c r="C221" s="90"/>
      <c r="D221" s="86"/>
      <c r="E221" s="67"/>
    </row>
    <row r="222" spans="1:5" x14ac:dyDescent="0.2">
      <c r="A222" s="67"/>
      <c r="B222" s="84" t="s">
        <v>69</v>
      </c>
      <c r="C222" s="84" t="s">
        <v>70</v>
      </c>
      <c r="D222" s="84" t="s">
        <v>71</v>
      </c>
      <c r="E222" s="67"/>
    </row>
    <row r="223" spans="1:5" x14ac:dyDescent="0.2">
      <c r="A223" s="67" t="str">
        <f>IF(D219&gt;0.005,"January","")</f>
        <v/>
      </c>
      <c r="B223" s="86">
        <f>IF(D219&gt;0,ROUND(D219*($D$5/1200),2),0)</f>
        <v>0</v>
      </c>
      <c r="C223" s="86">
        <f>IF(D219&lt;$B$7,D219,$B$7-B223)</f>
        <v>0</v>
      </c>
      <c r="D223" s="86">
        <f>IF(D219-C223&gt;0,D219-C223,0)</f>
        <v>0</v>
      </c>
      <c r="E223" s="67"/>
    </row>
    <row r="224" spans="1:5" x14ac:dyDescent="0.2">
      <c r="A224" s="67" t="str">
        <f>IF(D223&gt;0.005,"February","")</f>
        <v/>
      </c>
      <c r="B224" s="86">
        <f t="shared" ref="B224:B234" si="39">IF(D223&gt;0,ROUND(D223*($D$5/1200),2),0)</f>
        <v>0</v>
      </c>
      <c r="C224" s="86">
        <f t="shared" ref="C224:C234" si="40">IF(D223&lt;$B$7,D223,$B$7-B224)</f>
        <v>0</v>
      </c>
      <c r="D224" s="86">
        <f t="shared" ref="D224:D234" si="41">IF(D223-C224&gt;0,D223-C224,0)</f>
        <v>0</v>
      </c>
      <c r="E224" s="67"/>
    </row>
    <row r="225" spans="1:5" x14ac:dyDescent="0.2">
      <c r="A225" s="67" t="str">
        <f>IF(D224&gt;0.005,"March","")</f>
        <v/>
      </c>
      <c r="B225" s="86">
        <f t="shared" si="39"/>
        <v>0</v>
      </c>
      <c r="C225" s="86">
        <f t="shared" si="40"/>
        <v>0</v>
      </c>
      <c r="D225" s="86">
        <f t="shared" si="41"/>
        <v>0</v>
      </c>
      <c r="E225" s="67"/>
    </row>
    <row r="226" spans="1:5" x14ac:dyDescent="0.2">
      <c r="A226" s="67" t="str">
        <f>IF(D225&gt;0.005,"April","")</f>
        <v/>
      </c>
      <c r="B226" s="86">
        <f t="shared" si="39"/>
        <v>0</v>
      </c>
      <c r="C226" s="86">
        <f t="shared" si="40"/>
        <v>0</v>
      </c>
      <c r="D226" s="86">
        <f t="shared" si="41"/>
        <v>0</v>
      </c>
      <c r="E226" s="67"/>
    </row>
    <row r="227" spans="1:5" x14ac:dyDescent="0.2">
      <c r="A227" s="67" t="str">
        <f>IF(D226&gt;0.005,"May","")</f>
        <v/>
      </c>
      <c r="B227" s="86">
        <f t="shared" si="39"/>
        <v>0</v>
      </c>
      <c r="C227" s="86">
        <f t="shared" si="40"/>
        <v>0</v>
      </c>
      <c r="D227" s="86">
        <f t="shared" si="41"/>
        <v>0</v>
      </c>
      <c r="E227" s="67"/>
    </row>
    <row r="228" spans="1:5" x14ac:dyDescent="0.2">
      <c r="A228" s="67" t="str">
        <f>IF(D227&gt;0.005,"June","")</f>
        <v/>
      </c>
      <c r="B228" s="86">
        <f t="shared" si="39"/>
        <v>0</v>
      </c>
      <c r="C228" s="86">
        <f t="shared" si="40"/>
        <v>0</v>
      </c>
      <c r="D228" s="86">
        <f t="shared" si="41"/>
        <v>0</v>
      </c>
      <c r="E228" s="67"/>
    </row>
    <row r="229" spans="1:5" x14ac:dyDescent="0.2">
      <c r="A229" s="67" t="str">
        <f>IF(D228&gt;0.005,"July","")</f>
        <v/>
      </c>
      <c r="B229" s="86">
        <f t="shared" si="39"/>
        <v>0</v>
      </c>
      <c r="C229" s="86">
        <f t="shared" si="40"/>
        <v>0</v>
      </c>
      <c r="D229" s="86">
        <f t="shared" si="41"/>
        <v>0</v>
      </c>
      <c r="E229" s="67"/>
    </row>
    <row r="230" spans="1:5" x14ac:dyDescent="0.2">
      <c r="A230" s="67" t="str">
        <f>IF(D229&gt;0.005,"August","")</f>
        <v/>
      </c>
      <c r="B230" s="86">
        <f t="shared" si="39"/>
        <v>0</v>
      </c>
      <c r="C230" s="86">
        <f t="shared" si="40"/>
        <v>0</v>
      </c>
      <c r="D230" s="86">
        <f t="shared" si="41"/>
        <v>0</v>
      </c>
      <c r="E230" s="67"/>
    </row>
    <row r="231" spans="1:5" x14ac:dyDescent="0.2">
      <c r="A231" s="67" t="str">
        <f>IF(D230&gt;0.005,"September","")</f>
        <v/>
      </c>
      <c r="B231" s="86">
        <f t="shared" si="39"/>
        <v>0</v>
      </c>
      <c r="C231" s="86">
        <f t="shared" si="40"/>
        <v>0</v>
      </c>
      <c r="D231" s="86">
        <f t="shared" si="41"/>
        <v>0</v>
      </c>
      <c r="E231" s="67"/>
    </row>
    <row r="232" spans="1:5" x14ac:dyDescent="0.2">
      <c r="A232" s="67" t="str">
        <f>IF(D231&gt;0.005,"October","")</f>
        <v/>
      </c>
      <c r="B232" s="86">
        <f t="shared" si="39"/>
        <v>0</v>
      </c>
      <c r="C232" s="86">
        <f t="shared" si="40"/>
        <v>0</v>
      </c>
      <c r="D232" s="86">
        <f t="shared" si="41"/>
        <v>0</v>
      </c>
      <c r="E232" s="67"/>
    </row>
    <row r="233" spans="1:5" x14ac:dyDescent="0.2">
      <c r="A233" s="67" t="str">
        <f>IF(D232&gt;0.005,"November","")</f>
        <v/>
      </c>
      <c r="B233" s="86">
        <f t="shared" si="39"/>
        <v>0</v>
      </c>
      <c r="C233" s="86">
        <f t="shared" si="40"/>
        <v>0</v>
      </c>
      <c r="D233" s="86">
        <f t="shared" si="41"/>
        <v>0</v>
      </c>
      <c r="E233" s="67"/>
    </row>
    <row r="234" spans="1:5" x14ac:dyDescent="0.2">
      <c r="A234" s="67" t="str">
        <f>IF(D233&gt;0.005,"December","")</f>
        <v/>
      </c>
      <c r="B234" s="86">
        <f t="shared" si="39"/>
        <v>0</v>
      </c>
      <c r="C234" s="86">
        <f t="shared" si="40"/>
        <v>0</v>
      </c>
      <c r="D234" s="86">
        <f t="shared" si="41"/>
        <v>0</v>
      </c>
      <c r="E234" s="67"/>
    </row>
    <row r="235" spans="1:5" x14ac:dyDescent="0.2">
      <c r="A235" s="87" t="str">
        <f>"Total "&amp;YEAR($A$10)+14</f>
        <v>Total 2017</v>
      </c>
      <c r="B235" s="88">
        <f>SUM(B223:B234)</f>
        <v>0</v>
      </c>
      <c r="C235" s="88">
        <f>SUM(C223:C234)</f>
        <v>0</v>
      </c>
      <c r="D235" s="89"/>
      <c r="E235" s="67"/>
    </row>
    <row r="236" spans="1:5" x14ac:dyDescent="0.2">
      <c r="A236" s="67"/>
      <c r="B236" s="86"/>
      <c r="C236" s="86"/>
      <c r="D236" s="86"/>
      <c r="E236" s="67"/>
    </row>
    <row r="237" spans="1:5" x14ac:dyDescent="0.2">
      <c r="A237" s="67"/>
      <c r="B237" s="84" t="s">
        <v>69</v>
      </c>
      <c r="C237" s="84" t="s">
        <v>70</v>
      </c>
      <c r="D237" s="84" t="s">
        <v>71</v>
      </c>
      <c r="E237" s="67"/>
    </row>
    <row r="238" spans="1:5" x14ac:dyDescent="0.2">
      <c r="A238" s="67" t="str">
        <f>IF(D234&gt;0.005,"January","")</f>
        <v/>
      </c>
      <c r="B238" s="86">
        <f>IF(D234&gt;0,ROUND(D234*($D$5/1200),2),0)</f>
        <v>0</v>
      </c>
      <c r="C238" s="86">
        <f>IF(D234&lt;$B$7,D234,$B$7-B238)</f>
        <v>0</v>
      </c>
      <c r="D238" s="86">
        <f>IF(D234-C238&gt;0,D234-C238,0)</f>
        <v>0</v>
      </c>
      <c r="E238" s="67"/>
    </row>
    <row r="239" spans="1:5" x14ac:dyDescent="0.2">
      <c r="A239" s="67" t="str">
        <f>IF(D238&gt;0.005,"February","")</f>
        <v/>
      </c>
      <c r="B239" s="86">
        <f t="shared" ref="B239:B249" si="42">IF(D238&gt;0,ROUND(D238*($D$5/1200),2),0)</f>
        <v>0</v>
      </c>
      <c r="C239" s="86">
        <f t="shared" ref="C239:C249" si="43">IF(D238&lt;$B$7,D238,$B$7-B239)</f>
        <v>0</v>
      </c>
      <c r="D239" s="86">
        <f t="shared" ref="D239:D249" si="44">IF(D238-C239&gt;0,D238-C239,0)</f>
        <v>0</v>
      </c>
      <c r="E239" s="67"/>
    </row>
    <row r="240" spans="1:5" x14ac:dyDescent="0.2">
      <c r="A240" s="67" t="str">
        <f>IF(D239&gt;0.005,"March","")</f>
        <v/>
      </c>
      <c r="B240" s="86">
        <f t="shared" si="42"/>
        <v>0</v>
      </c>
      <c r="C240" s="86">
        <f t="shared" si="43"/>
        <v>0</v>
      </c>
      <c r="D240" s="86">
        <f t="shared" si="44"/>
        <v>0</v>
      </c>
      <c r="E240" s="67"/>
    </row>
    <row r="241" spans="1:5" x14ac:dyDescent="0.2">
      <c r="A241" s="67" t="str">
        <f>IF(D240&gt;0.005,"April","")</f>
        <v/>
      </c>
      <c r="B241" s="86">
        <f t="shared" si="42"/>
        <v>0</v>
      </c>
      <c r="C241" s="86">
        <f t="shared" si="43"/>
        <v>0</v>
      </c>
      <c r="D241" s="86">
        <f t="shared" si="44"/>
        <v>0</v>
      </c>
      <c r="E241" s="67"/>
    </row>
    <row r="242" spans="1:5" x14ac:dyDescent="0.2">
      <c r="A242" s="67" t="str">
        <f>IF(D241&gt;0.005,"May","")</f>
        <v/>
      </c>
      <c r="B242" s="86">
        <f t="shared" si="42"/>
        <v>0</v>
      </c>
      <c r="C242" s="86">
        <f t="shared" si="43"/>
        <v>0</v>
      </c>
      <c r="D242" s="86">
        <f t="shared" si="44"/>
        <v>0</v>
      </c>
      <c r="E242" s="67"/>
    </row>
    <row r="243" spans="1:5" x14ac:dyDescent="0.2">
      <c r="A243" s="67" t="str">
        <f>IF(D242&gt;0.005,"June","")</f>
        <v/>
      </c>
      <c r="B243" s="86">
        <f t="shared" si="42"/>
        <v>0</v>
      </c>
      <c r="C243" s="86">
        <f t="shared" si="43"/>
        <v>0</v>
      </c>
      <c r="D243" s="86">
        <f t="shared" si="44"/>
        <v>0</v>
      </c>
      <c r="E243" s="67"/>
    </row>
    <row r="244" spans="1:5" x14ac:dyDescent="0.2">
      <c r="A244" s="67" t="str">
        <f>IF(D243&gt;0.005,"July","")</f>
        <v/>
      </c>
      <c r="B244" s="86">
        <f t="shared" si="42"/>
        <v>0</v>
      </c>
      <c r="C244" s="86">
        <f t="shared" si="43"/>
        <v>0</v>
      </c>
      <c r="D244" s="86">
        <f t="shared" si="44"/>
        <v>0</v>
      </c>
      <c r="E244" s="67"/>
    </row>
    <row r="245" spans="1:5" x14ac:dyDescent="0.2">
      <c r="A245" s="67" t="str">
        <f>IF(D244&gt;0.005,"August","")</f>
        <v/>
      </c>
      <c r="B245" s="86">
        <f t="shared" si="42"/>
        <v>0</v>
      </c>
      <c r="C245" s="86">
        <f t="shared" si="43"/>
        <v>0</v>
      </c>
      <c r="D245" s="86">
        <f t="shared" si="44"/>
        <v>0</v>
      </c>
      <c r="E245" s="67"/>
    </row>
    <row r="246" spans="1:5" x14ac:dyDescent="0.2">
      <c r="A246" s="67" t="str">
        <f>IF(D245&gt;0.005,"September","")</f>
        <v/>
      </c>
      <c r="B246" s="86">
        <f t="shared" si="42"/>
        <v>0</v>
      </c>
      <c r="C246" s="86">
        <f t="shared" si="43"/>
        <v>0</v>
      </c>
      <c r="D246" s="86">
        <f t="shared" si="44"/>
        <v>0</v>
      </c>
      <c r="E246" s="67"/>
    </row>
    <row r="247" spans="1:5" x14ac:dyDescent="0.2">
      <c r="A247" s="67" t="str">
        <f>IF(D246&gt;0.005,"October","")</f>
        <v/>
      </c>
      <c r="B247" s="86">
        <f t="shared" si="42"/>
        <v>0</v>
      </c>
      <c r="C247" s="86">
        <f t="shared" si="43"/>
        <v>0</v>
      </c>
      <c r="D247" s="86">
        <f t="shared" si="44"/>
        <v>0</v>
      </c>
      <c r="E247" s="67"/>
    </row>
    <row r="248" spans="1:5" x14ac:dyDescent="0.2">
      <c r="A248" s="67" t="str">
        <f>IF(D247&gt;0.005,"November","")</f>
        <v/>
      </c>
      <c r="B248" s="86">
        <f t="shared" si="42"/>
        <v>0</v>
      </c>
      <c r="C248" s="86">
        <f t="shared" si="43"/>
        <v>0</v>
      </c>
      <c r="D248" s="86">
        <f t="shared" si="44"/>
        <v>0</v>
      </c>
      <c r="E248" s="67"/>
    </row>
    <row r="249" spans="1:5" x14ac:dyDescent="0.2">
      <c r="A249" s="67" t="str">
        <f>IF(D248&gt;0.005,"December","")</f>
        <v/>
      </c>
      <c r="B249" s="86">
        <f t="shared" si="42"/>
        <v>0</v>
      </c>
      <c r="C249" s="86">
        <f t="shared" si="43"/>
        <v>0</v>
      </c>
      <c r="D249" s="86">
        <f t="shared" si="44"/>
        <v>0</v>
      </c>
      <c r="E249" s="67"/>
    </row>
    <row r="250" spans="1:5" x14ac:dyDescent="0.2">
      <c r="A250" s="87" t="str">
        <f>"Total "&amp;YEAR($A$10)+15</f>
        <v>Total 2018</v>
      </c>
      <c r="B250" s="88">
        <f>SUM(B238:B249)</f>
        <v>0</v>
      </c>
      <c r="C250" s="88">
        <f>SUM(C238:C249)</f>
        <v>0</v>
      </c>
      <c r="D250" s="89"/>
      <c r="E250" s="67"/>
    </row>
    <row r="251" spans="1:5" x14ac:dyDescent="0.2">
      <c r="A251" s="67"/>
      <c r="B251" s="86"/>
      <c r="C251" s="86"/>
      <c r="D251" s="86"/>
      <c r="E251" s="67"/>
    </row>
    <row r="252" spans="1:5" x14ac:dyDescent="0.2">
      <c r="A252" s="67"/>
      <c r="B252" s="84" t="s">
        <v>69</v>
      </c>
      <c r="C252" s="84" t="s">
        <v>70</v>
      </c>
      <c r="D252" s="84" t="s">
        <v>71</v>
      </c>
      <c r="E252" s="67"/>
    </row>
    <row r="253" spans="1:5" x14ac:dyDescent="0.2">
      <c r="A253" s="67" t="str">
        <f>IF(D249&gt;0.005,"January","")</f>
        <v/>
      </c>
      <c r="B253" s="86">
        <f>IF(D249&gt;0,ROUND(D249*($D$5/1200),2),0)</f>
        <v>0</v>
      </c>
      <c r="C253" s="86">
        <f>IF(D249&lt;$B$7,D249,$B$7-B253)</f>
        <v>0</v>
      </c>
      <c r="D253" s="86">
        <f>IF(D249-C253&gt;0,D249-C253,0)</f>
        <v>0</v>
      </c>
      <c r="E253" s="67"/>
    </row>
    <row r="254" spans="1:5" x14ac:dyDescent="0.2">
      <c r="A254" s="67" t="str">
        <f>IF(D253&gt;0.005,"February","")</f>
        <v/>
      </c>
      <c r="B254" s="86">
        <f t="shared" ref="B254:B264" si="45">IF(D253&gt;0,ROUND(D253*($D$5/1200),2),0)</f>
        <v>0</v>
      </c>
      <c r="C254" s="86">
        <f t="shared" ref="C254:C264" si="46">IF(D253&lt;$B$7,D253,$B$7-B254)</f>
        <v>0</v>
      </c>
      <c r="D254" s="86">
        <f t="shared" ref="D254:D264" si="47">IF(D253-C254&gt;0,D253-C254,0)</f>
        <v>0</v>
      </c>
      <c r="E254" s="67"/>
    </row>
    <row r="255" spans="1:5" x14ac:dyDescent="0.2">
      <c r="A255" s="67" t="str">
        <f>IF(D254&gt;0.005,"March","")</f>
        <v/>
      </c>
      <c r="B255" s="86">
        <f t="shared" si="45"/>
        <v>0</v>
      </c>
      <c r="C255" s="86">
        <f t="shared" si="46"/>
        <v>0</v>
      </c>
      <c r="D255" s="86">
        <f t="shared" si="47"/>
        <v>0</v>
      </c>
      <c r="E255" s="67"/>
    </row>
    <row r="256" spans="1:5" x14ac:dyDescent="0.2">
      <c r="A256" s="67" t="str">
        <f>IF(D255&gt;0.005,"April","")</f>
        <v/>
      </c>
      <c r="B256" s="86">
        <f t="shared" si="45"/>
        <v>0</v>
      </c>
      <c r="C256" s="86">
        <f t="shared" si="46"/>
        <v>0</v>
      </c>
      <c r="D256" s="86">
        <f t="shared" si="47"/>
        <v>0</v>
      </c>
      <c r="E256" s="67"/>
    </row>
    <row r="257" spans="1:5" x14ac:dyDescent="0.2">
      <c r="A257" s="67" t="str">
        <f>IF(D256&gt;0.005,"May","")</f>
        <v/>
      </c>
      <c r="B257" s="86">
        <f t="shared" si="45"/>
        <v>0</v>
      </c>
      <c r="C257" s="86">
        <f t="shared" si="46"/>
        <v>0</v>
      </c>
      <c r="D257" s="86">
        <f t="shared" si="47"/>
        <v>0</v>
      </c>
      <c r="E257" s="67"/>
    </row>
    <row r="258" spans="1:5" x14ac:dyDescent="0.2">
      <c r="A258" s="67" t="str">
        <f>IF(D257&gt;0.005,"June","")</f>
        <v/>
      </c>
      <c r="B258" s="86">
        <f t="shared" si="45"/>
        <v>0</v>
      </c>
      <c r="C258" s="86">
        <f t="shared" si="46"/>
        <v>0</v>
      </c>
      <c r="D258" s="86">
        <f t="shared" si="47"/>
        <v>0</v>
      </c>
      <c r="E258" s="67"/>
    </row>
    <row r="259" spans="1:5" x14ac:dyDescent="0.2">
      <c r="A259" s="67" t="str">
        <f>IF(D258&gt;0.005,"July","")</f>
        <v/>
      </c>
      <c r="B259" s="86">
        <f t="shared" si="45"/>
        <v>0</v>
      </c>
      <c r="C259" s="86">
        <f t="shared" si="46"/>
        <v>0</v>
      </c>
      <c r="D259" s="86">
        <f t="shared" si="47"/>
        <v>0</v>
      </c>
      <c r="E259" s="67"/>
    </row>
    <row r="260" spans="1:5" x14ac:dyDescent="0.2">
      <c r="A260" s="67" t="str">
        <f>IF(D259&gt;0.005,"August","")</f>
        <v/>
      </c>
      <c r="B260" s="86">
        <f t="shared" si="45"/>
        <v>0</v>
      </c>
      <c r="C260" s="86">
        <f t="shared" si="46"/>
        <v>0</v>
      </c>
      <c r="D260" s="86">
        <f t="shared" si="47"/>
        <v>0</v>
      </c>
      <c r="E260" s="67"/>
    </row>
    <row r="261" spans="1:5" x14ac:dyDescent="0.2">
      <c r="A261" s="67" t="str">
        <f>IF(D260&gt;0.005,"September","")</f>
        <v/>
      </c>
      <c r="B261" s="86">
        <f t="shared" si="45"/>
        <v>0</v>
      </c>
      <c r="C261" s="86">
        <f t="shared" si="46"/>
        <v>0</v>
      </c>
      <c r="D261" s="86">
        <f t="shared" si="47"/>
        <v>0</v>
      </c>
      <c r="E261" s="67"/>
    </row>
    <row r="262" spans="1:5" x14ac:dyDescent="0.2">
      <c r="A262" s="67" t="str">
        <f>IF(D261&gt;0.005,"October","")</f>
        <v/>
      </c>
      <c r="B262" s="86">
        <f t="shared" si="45"/>
        <v>0</v>
      </c>
      <c r="C262" s="86">
        <f t="shared" si="46"/>
        <v>0</v>
      </c>
      <c r="D262" s="86">
        <f t="shared" si="47"/>
        <v>0</v>
      </c>
      <c r="E262" s="67"/>
    </row>
    <row r="263" spans="1:5" x14ac:dyDescent="0.2">
      <c r="A263" s="67" t="str">
        <f>IF(D262&gt;0.005,"November","")</f>
        <v/>
      </c>
      <c r="B263" s="86">
        <f t="shared" si="45"/>
        <v>0</v>
      </c>
      <c r="C263" s="86">
        <f t="shared" si="46"/>
        <v>0</v>
      </c>
      <c r="D263" s="86">
        <f t="shared" si="47"/>
        <v>0</v>
      </c>
      <c r="E263" s="67"/>
    </row>
    <row r="264" spans="1:5" x14ac:dyDescent="0.2">
      <c r="A264" s="67" t="str">
        <f>IF(D263&gt;0.005,"December","")</f>
        <v/>
      </c>
      <c r="B264" s="86">
        <f t="shared" si="45"/>
        <v>0</v>
      </c>
      <c r="C264" s="86">
        <f t="shared" si="46"/>
        <v>0</v>
      </c>
      <c r="D264" s="86">
        <f t="shared" si="47"/>
        <v>0</v>
      </c>
      <c r="E264" s="67"/>
    </row>
    <row r="265" spans="1:5" x14ac:dyDescent="0.2">
      <c r="A265" s="87" t="str">
        <f>"Total "&amp;YEAR($A$10)+16</f>
        <v>Total 2019</v>
      </c>
      <c r="B265" s="88">
        <f>SUM(B253:B264)</f>
        <v>0</v>
      </c>
      <c r="C265" s="88">
        <f>SUM(C253:C264)</f>
        <v>0</v>
      </c>
      <c r="D265" s="89"/>
      <c r="E265" s="67"/>
    </row>
    <row r="266" spans="1:5" x14ac:dyDescent="0.2">
      <c r="A266" s="69"/>
      <c r="B266" s="90"/>
      <c r="C266" s="90"/>
      <c r="D266" s="86"/>
      <c r="E266" s="67"/>
    </row>
    <row r="267" spans="1:5" x14ac:dyDescent="0.2">
      <c r="A267" s="67"/>
      <c r="B267" s="84" t="s">
        <v>69</v>
      </c>
      <c r="C267" s="84" t="s">
        <v>70</v>
      </c>
      <c r="D267" s="84" t="s">
        <v>71</v>
      </c>
      <c r="E267" s="67"/>
    </row>
    <row r="268" spans="1:5" x14ac:dyDescent="0.2">
      <c r="A268" s="67" t="str">
        <f>IF(D264&gt;0.005,"January","")</f>
        <v/>
      </c>
      <c r="B268" s="86">
        <f>IF(D264&gt;0,ROUND(D264*($D$5/1200),2),0)</f>
        <v>0</v>
      </c>
      <c r="C268" s="86">
        <f>IF(D264&lt;$B$7,D264,$B$7-B268)</f>
        <v>0</v>
      </c>
      <c r="D268" s="86">
        <f>IF(D264-C268&gt;0,D264-C268,0)</f>
        <v>0</v>
      </c>
      <c r="E268" s="67"/>
    </row>
    <row r="269" spans="1:5" x14ac:dyDescent="0.2">
      <c r="A269" s="67" t="str">
        <f>IF(D268&gt;0.005,"February","")</f>
        <v/>
      </c>
      <c r="B269" s="86">
        <f t="shared" ref="B269:B279" si="48">IF(D268&gt;0,ROUND(D268*($D$5/1200),2),0)</f>
        <v>0</v>
      </c>
      <c r="C269" s="86">
        <f t="shared" ref="C269:C279" si="49">IF(D268&lt;$B$7,D268,$B$7-B269)</f>
        <v>0</v>
      </c>
      <c r="D269" s="86">
        <f t="shared" ref="D269:D279" si="50">IF(D268-C269&gt;0,D268-C269,0)</f>
        <v>0</v>
      </c>
      <c r="E269" s="67"/>
    </row>
    <row r="270" spans="1:5" x14ac:dyDescent="0.2">
      <c r="A270" s="67" t="str">
        <f>IF(D269&gt;0.005,"March","")</f>
        <v/>
      </c>
      <c r="B270" s="86">
        <f t="shared" si="48"/>
        <v>0</v>
      </c>
      <c r="C270" s="86">
        <f t="shared" si="49"/>
        <v>0</v>
      </c>
      <c r="D270" s="86">
        <f t="shared" si="50"/>
        <v>0</v>
      </c>
      <c r="E270" s="67"/>
    </row>
    <row r="271" spans="1:5" x14ac:dyDescent="0.2">
      <c r="A271" s="67" t="str">
        <f>IF(D270&gt;0.005,"April","")</f>
        <v/>
      </c>
      <c r="B271" s="86">
        <f t="shared" si="48"/>
        <v>0</v>
      </c>
      <c r="C271" s="86">
        <f t="shared" si="49"/>
        <v>0</v>
      </c>
      <c r="D271" s="86">
        <f t="shared" si="50"/>
        <v>0</v>
      </c>
      <c r="E271" s="67"/>
    </row>
    <row r="272" spans="1:5" x14ac:dyDescent="0.2">
      <c r="A272" s="67" t="str">
        <f>IF(D271&gt;0.005,"May","")</f>
        <v/>
      </c>
      <c r="B272" s="86">
        <f t="shared" si="48"/>
        <v>0</v>
      </c>
      <c r="C272" s="86">
        <f t="shared" si="49"/>
        <v>0</v>
      </c>
      <c r="D272" s="86">
        <f t="shared" si="50"/>
        <v>0</v>
      </c>
      <c r="E272" s="67"/>
    </row>
    <row r="273" spans="1:5" x14ac:dyDescent="0.2">
      <c r="A273" s="67" t="str">
        <f>IF(D272&gt;0.005,"June","")</f>
        <v/>
      </c>
      <c r="B273" s="86">
        <f t="shared" si="48"/>
        <v>0</v>
      </c>
      <c r="C273" s="86">
        <f t="shared" si="49"/>
        <v>0</v>
      </c>
      <c r="D273" s="86">
        <f t="shared" si="50"/>
        <v>0</v>
      </c>
      <c r="E273" s="67"/>
    </row>
    <row r="274" spans="1:5" x14ac:dyDescent="0.2">
      <c r="A274" s="67" t="str">
        <f>IF(D273&gt;0.005,"July","")</f>
        <v/>
      </c>
      <c r="B274" s="86">
        <f t="shared" si="48"/>
        <v>0</v>
      </c>
      <c r="C274" s="86">
        <f t="shared" si="49"/>
        <v>0</v>
      </c>
      <c r="D274" s="86">
        <f t="shared" si="50"/>
        <v>0</v>
      </c>
      <c r="E274" s="67"/>
    </row>
    <row r="275" spans="1:5" x14ac:dyDescent="0.2">
      <c r="A275" s="67" t="str">
        <f>IF(D274&gt;0.005,"August","")</f>
        <v/>
      </c>
      <c r="B275" s="86">
        <f t="shared" si="48"/>
        <v>0</v>
      </c>
      <c r="C275" s="86">
        <f t="shared" si="49"/>
        <v>0</v>
      </c>
      <c r="D275" s="86">
        <f t="shared" si="50"/>
        <v>0</v>
      </c>
      <c r="E275" s="67"/>
    </row>
    <row r="276" spans="1:5" x14ac:dyDescent="0.2">
      <c r="A276" s="67" t="str">
        <f>IF(D275&gt;0.005,"September","")</f>
        <v/>
      </c>
      <c r="B276" s="86">
        <f t="shared" si="48"/>
        <v>0</v>
      </c>
      <c r="C276" s="86">
        <f t="shared" si="49"/>
        <v>0</v>
      </c>
      <c r="D276" s="86">
        <f t="shared" si="50"/>
        <v>0</v>
      </c>
      <c r="E276" s="67"/>
    </row>
    <row r="277" spans="1:5" x14ac:dyDescent="0.2">
      <c r="A277" s="67" t="str">
        <f>IF(D276&gt;0.005,"October","")</f>
        <v/>
      </c>
      <c r="B277" s="86">
        <f t="shared" si="48"/>
        <v>0</v>
      </c>
      <c r="C277" s="86">
        <f t="shared" si="49"/>
        <v>0</v>
      </c>
      <c r="D277" s="86">
        <f t="shared" si="50"/>
        <v>0</v>
      </c>
      <c r="E277" s="67"/>
    </row>
    <row r="278" spans="1:5" x14ac:dyDescent="0.2">
      <c r="A278" s="67" t="str">
        <f>IF(D277&gt;0.005,"November","")</f>
        <v/>
      </c>
      <c r="B278" s="86">
        <f t="shared" si="48"/>
        <v>0</v>
      </c>
      <c r="C278" s="86">
        <f t="shared" si="49"/>
        <v>0</v>
      </c>
      <c r="D278" s="86">
        <f t="shared" si="50"/>
        <v>0</v>
      </c>
      <c r="E278" s="67"/>
    </row>
    <row r="279" spans="1:5" x14ac:dyDescent="0.2">
      <c r="A279" s="67" t="str">
        <f>IF(D278&gt;0.005,"December","")</f>
        <v/>
      </c>
      <c r="B279" s="86">
        <f t="shared" si="48"/>
        <v>0</v>
      </c>
      <c r="C279" s="86">
        <f t="shared" si="49"/>
        <v>0</v>
      </c>
      <c r="D279" s="86">
        <f t="shared" si="50"/>
        <v>0</v>
      </c>
      <c r="E279" s="67"/>
    </row>
    <row r="280" spans="1:5" x14ac:dyDescent="0.2">
      <c r="A280" s="87" t="str">
        <f>"Total "&amp;YEAR($A$10)+17</f>
        <v>Total 2020</v>
      </c>
      <c r="B280" s="88">
        <f>SUM(B268:B279)</f>
        <v>0</v>
      </c>
      <c r="C280" s="88">
        <f>SUM(C268:C279)</f>
        <v>0</v>
      </c>
      <c r="D280" s="89"/>
      <c r="E280" s="67"/>
    </row>
    <row r="281" spans="1:5" x14ac:dyDescent="0.2">
      <c r="A281" s="67"/>
      <c r="B281" s="86"/>
      <c r="C281" s="86"/>
      <c r="D281" s="86"/>
      <c r="E281" s="67"/>
    </row>
    <row r="282" spans="1:5" x14ac:dyDescent="0.2">
      <c r="A282" s="67"/>
      <c r="B282" s="84" t="s">
        <v>69</v>
      </c>
      <c r="C282" s="84" t="s">
        <v>70</v>
      </c>
      <c r="D282" s="84" t="s">
        <v>71</v>
      </c>
      <c r="E282" s="67"/>
    </row>
    <row r="283" spans="1:5" x14ac:dyDescent="0.2">
      <c r="A283" s="67" t="str">
        <f>IF(D279&gt;0.005,"January","")</f>
        <v/>
      </c>
      <c r="B283" s="86">
        <f>IF(D279&gt;0,ROUND(D279*($D$5/1200),2),0)</f>
        <v>0</v>
      </c>
      <c r="C283" s="86">
        <f>IF(D279&lt;$B$7,D279,$B$7-B283)</f>
        <v>0</v>
      </c>
      <c r="D283" s="86">
        <f>IF(D279-C283&gt;0,D279-C283,0)</f>
        <v>0</v>
      </c>
      <c r="E283" s="67"/>
    </row>
    <row r="284" spans="1:5" x14ac:dyDescent="0.2">
      <c r="A284" s="67" t="str">
        <f>IF(D283&gt;0.005,"February","")</f>
        <v/>
      </c>
      <c r="B284" s="86">
        <f t="shared" ref="B284:B294" si="51">IF(D283&gt;0,ROUND(D283*($D$5/1200),2),0)</f>
        <v>0</v>
      </c>
      <c r="C284" s="86">
        <f t="shared" ref="C284:C294" si="52">IF(D283&lt;$B$7,D283,$B$7-B284)</f>
        <v>0</v>
      </c>
      <c r="D284" s="86">
        <f t="shared" ref="D284:D294" si="53">IF(D283-C284&gt;0,D283-C284,0)</f>
        <v>0</v>
      </c>
      <c r="E284" s="67"/>
    </row>
    <row r="285" spans="1:5" x14ac:dyDescent="0.2">
      <c r="A285" s="67" t="str">
        <f>IF(D284&gt;0.005,"March","")</f>
        <v/>
      </c>
      <c r="B285" s="86">
        <f t="shared" si="51"/>
        <v>0</v>
      </c>
      <c r="C285" s="86">
        <f t="shared" si="52"/>
        <v>0</v>
      </c>
      <c r="D285" s="86">
        <f t="shared" si="53"/>
        <v>0</v>
      </c>
      <c r="E285" s="67"/>
    </row>
    <row r="286" spans="1:5" x14ac:dyDescent="0.2">
      <c r="A286" s="67" t="str">
        <f>IF(D285&gt;0.005,"April","")</f>
        <v/>
      </c>
      <c r="B286" s="86">
        <f t="shared" si="51"/>
        <v>0</v>
      </c>
      <c r="C286" s="86">
        <f t="shared" si="52"/>
        <v>0</v>
      </c>
      <c r="D286" s="86">
        <f t="shared" si="53"/>
        <v>0</v>
      </c>
      <c r="E286" s="67"/>
    </row>
    <row r="287" spans="1:5" x14ac:dyDescent="0.2">
      <c r="A287" s="67" t="str">
        <f>IF(D286&gt;0.005,"May","")</f>
        <v/>
      </c>
      <c r="B287" s="86">
        <f t="shared" si="51"/>
        <v>0</v>
      </c>
      <c r="C287" s="86">
        <f t="shared" si="52"/>
        <v>0</v>
      </c>
      <c r="D287" s="86">
        <f t="shared" si="53"/>
        <v>0</v>
      </c>
      <c r="E287" s="67"/>
    </row>
    <row r="288" spans="1:5" x14ac:dyDescent="0.2">
      <c r="A288" s="67" t="str">
        <f>IF(D287&gt;0.005,"June","")</f>
        <v/>
      </c>
      <c r="B288" s="86">
        <f t="shared" si="51"/>
        <v>0</v>
      </c>
      <c r="C288" s="86">
        <f t="shared" si="52"/>
        <v>0</v>
      </c>
      <c r="D288" s="86">
        <f t="shared" si="53"/>
        <v>0</v>
      </c>
      <c r="E288" s="67"/>
    </row>
    <row r="289" spans="1:5" x14ac:dyDescent="0.2">
      <c r="A289" s="67" t="str">
        <f>IF(D288&gt;0.005,"July","")</f>
        <v/>
      </c>
      <c r="B289" s="86">
        <f t="shared" si="51"/>
        <v>0</v>
      </c>
      <c r="C289" s="86">
        <f t="shared" si="52"/>
        <v>0</v>
      </c>
      <c r="D289" s="86">
        <f t="shared" si="53"/>
        <v>0</v>
      </c>
      <c r="E289" s="67"/>
    </row>
    <row r="290" spans="1:5" x14ac:dyDescent="0.2">
      <c r="A290" s="67" t="str">
        <f>IF(D289&gt;0.005,"August","")</f>
        <v/>
      </c>
      <c r="B290" s="86">
        <f t="shared" si="51"/>
        <v>0</v>
      </c>
      <c r="C290" s="86">
        <f t="shared" si="52"/>
        <v>0</v>
      </c>
      <c r="D290" s="86">
        <f t="shared" si="53"/>
        <v>0</v>
      </c>
      <c r="E290" s="67"/>
    </row>
    <row r="291" spans="1:5" x14ac:dyDescent="0.2">
      <c r="A291" s="67" t="str">
        <f>IF(D290&gt;0.005,"September","")</f>
        <v/>
      </c>
      <c r="B291" s="86">
        <f t="shared" si="51"/>
        <v>0</v>
      </c>
      <c r="C291" s="86">
        <f t="shared" si="52"/>
        <v>0</v>
      </c>
      <c r="D291" s="86">
        <f t="shared" si="53"/>
        <v>0</v>
      </c>
      <c r="E291" s="67"/>
    </row>
    <row r="292" spans="1:5" x14ac:dyDescent="0.2">
      <c r="A292" s="67" t="str">
        <f>IF(D291&gt;0.005,"October","")</f>
        <v/>
      </c>
      <c r="B292" s="86">
        <f t="shared" si="51"/>
        <v>0</v>
      </c>
      <c r="C292" s="86">
        <f t="shared" si="52"/>
        <v>0</v>
      </c>
      <c r="D292" s="86">
        <f t="shared" si="53"/>
        <v>0</v>
      </c>
      <c r="E292" s="67"/>
    </row>
    <row r="293" spans="1:5" x14ac:dyDescent="0.2">
      <c r="A293" s="67" t="str">
        <f>IF(D292&gt;0.005,"November","")</f>
        <v/>
      </c>
      <c r="B293" s="86">
        <f t="shared" si="51"/>
        <v>0</v>
      </c>
      <c r="C293" s="86">
        <f t="shared" si="52"/>
        <v>0</v>
      </c>
      <c r="D293" s="86">
        <f t="shared" si="53"/>
        <v>0</v>
      </c>
      <c r="E293" s="67"/>
    </row>
    <row r="294" spans="1:5" x14ac:dyDescent="0.2">
      <c r="A294" s="67" t="str">
        <f>IF(D293&gt;0.005,"December","")</f>
        <v/>
      </c>
      <c r="B294" s="86">
        <f t="shared" si="51"/>
        <v>0</v>
      </c>
      <c r="C294" s="86">
        <f t="shared" si="52"/>
        <v>0</v>
      </c>
      <c r="D294" s="86">
        <f t="shared" si="53"/>
        <v>0</v>
      </c>
      <c r="E294" s="67"/>
    </row>
    <row r="295" spans="1:5" x14ac:dyDescent="0.2">
      <c r="A295" s="87" t="str">
        <f>"Total "&amp;YEAR($A$10)+18</f>
        <v>Total 2021</v>
      </c>
      <c r="B295" s="88">
        <f>SUM(B283:B294)</f>
        <v>0</v>
      </c>
      <c r="C295" s="88">
        <f>SUM(C283:C294)</f>
        <v>0</v>
      </c>
      <c r="D295" s="89"/>
      <c r="E295" s="67"/>
    </row>
    <row r="296" spans="1:5" x14ac:dyDescent="0.2">
      <c r="A296" s="67"/>
      <c r="B296" s="86"/>
      <c r="C296" s="86"/>
      <c r="D296" s="86"/>
      <c r="E296" s="67"/>
    </row>
    <row r="297" spans="1:5" x14ac:dyDescent="0.2">
      <c r="A297" s="67"/>
      <c r="B297" s="84" t="s">
        <v>69</v>
      </c>
      <c r="C297" s="84" t="s">
        <v>70</v>
      </c>
      <c r="D297" s="84" t="s">
        <v>71</v>
      </c>
      <c r="E297" s="67"/>
    </row>
    <row r="298" spans="1:5" x14ac:dyDescent="0.2">
      <c r="A298" s="67" t="str">
        <f>IF(D294&gt;0.005,"January","")</f>
        <v/>
      </c>
      <c r="B298" s="86">
        <f>IF(D294&gt;0,ROUND(D294*($D$5/1200),2),0)</f>
        <v>0</v>
      </c>
      <c r="C298" s="86">
        <f>IF(D294&lt;$B$7,D294,$B$7-B298)</f>
        <v>0</v>
      </c>
      <c r="D298" s="86">
        <f>IF(D294-C298&gt;0,D294-C298,0)</f>
        <v>0</v>
      </c>
      <c r="E298" s="67"/>
    </row>
    <row r="299" spans="1:5" x14ac:dyDescent="0.2">
      <c r="A299" s="67" t="str">
        <f>IF(D298&gt;0.005,"February","")</f>
        <v/>
      </c>
      <c r="B299" s="86">
        <f t="shared" ref="B299:B309" si="54">IF(D298&gt;0,ROUND(D298*($D$5/1200),2),0)</f>
        <v>0</v>
      </c>
      <c r="C299" s="86">
        <f t="shared" ref="C299:C309" si="55">IF(D298&lt;$B$7,D298,$B$7-B299)</f>
        <v>0</v>
      </c>
      <c r="D299" s="86">
        <f t="shared" ref="D299:D309" si="56">IF(D298-C299&gt;0,D298-C299,0)</f>
        <v>0</v>
      </c>
      <c r="E299" s="67"/>
    </row>
    <row r="300" spans="1:5" x14ac:dyDescent="0.2">
      <c r="A300" s="67" t="str">
        <f>IF(D299&gt;0.005,"March","")</f>
        <v/>
      </c>
      <c r="B300" s="86">
        <f t="shared" si="54"/>
        <v>0</v>
      </c>
      <c r="C300" s="86">
        <f t="shared" si="55"/>
        <v>0</v>
      </c>
      <c r="D300" s="86">
        <f t="shared" si="56"/>
        <v>0</v>
      </c>
      <c r="E300" s="67"/>
    </row>
    <row r="301" spans="1:5" x14ac:dyDescent="0.2">
      <c r="A301" s="67" t="str">
        <f>IF(D300&gt;0.005,"April","")</f>
        <v/>
      </c>
      <c r="B301" s="86">
        <f t="shared" si="54"/>
        <v>0</v>
      </c>
      <c r="C301" s="86">
        <f t="shared" si="55"/>
        <v>0</v>
      </c>
      <c r="D301" s="86">
        <f t="shared" si="56"/>
        <v>0</v>
      </c>
      <c r="E301" s="67"/>
    </row>
    <row r="302" spans="1:5" x14ac:dyDescent="0.2">
      <c r="A302" s="67" t="str">
        <f>IF(D301&gt;0.005,"May","")</f>
        <v/>
      </c>
      <c r="B302" s="86">
        <f t="shared" si="54"/>
        <v>0</v>
      </c>
      <c r="C302" s="86">
        <f t="shared" si="55"/>
        <v>0</v>
      </c>
      <c r="D302" s="86">
        <f t="shared" si="56"/>
        <v>0</v>
      </c>
      <c r="E302" s="67"/>
    </row>
    <row r="303" spans="1:5" x14ac:dyDescent="0.2">
      <c r="A303" s="67" t="str">
        <f>IF(D302&gt;0.005,"June","")</f>
        <v/>
      </c>
      <c r="B303" s="86">
        <f t="shared" si="54"/>
        <v>0</v>
      </c>
      <c r="C303" s="86">
        <f t="shared" si="55"/>
        <v>0</v>
      </c>
      <c r="D303" s="86">
        <f t="shared" si="56"/>
        <v>0</v>
      </c>
      <c r="E303" s="67"/>
    </row>
    <row r="304" spans="1:5" x14ac:dyDescent="0.2">
      <c r="A304" s="67" t="str">
        <f>IF(D303&gt;0.005,"July","")</f>
        <v/>
      </c>
      <c r="B304" s="86">
        <f t="shared" si="54"/>
        <v>0</v>
      </c>
      <c r="C304" s="86">
        <f t="shared" si="55"/>
        <v>0</v>
      </c>
      <c r="D304" s="86">
        <f t="shared" si="56"/>
        <v>0</v>
      </c>
      <c r="E304" s="67"/>
    </row>
    <row r="305" spans="1:5" x14ac:dyDescent="0.2">
      <c r="A305" s="67" t="str">
        <f>IF(D304&gt;0.005,"August","")</f>
        <v/>
      </c>
      <c r="B305" s="86">
        <f t="shared" si="54"/>
        <v>0</v>
      </c>
      <c r="C305" s="86">
        <f t="shared" si="55"/>
        <v>0</v>
      </c>
      <c r="D305" s="86">
        <f t="shared" si="56"/>
        <v>0</v>
      </c>
      <c r="E305" s="67"/>
    </row>
    <row r="306" spans="1:5" x14ac:dyDescent="0.2">
      <c r="A306" s="67" t="str">
        <f>IF(D305&gt;0.005,"September","")</f>
        <v/>
      </c>
      <c r="B306" s="86">
        <f t="shared" si="54"/>
        <v>0</v>
      </c>
      <c r="C306" s="86">
        <f t="shared" si="55"/>
        <v>0</v>
      </c>
      <c r="D306" s="86">
        <f t="shared" si="56"/>
        <v>0</v>
      </c>
      <c r="E306" s="67"/>
    </row>
    <row r="307" spans="1:5" x14ac:dyDescent="0.2">
      <c r="A307" s="67" t="str">
        <f>IF(D306&gt;0.005,"October","")</f>
        <v/>
      </c>
      <c r="B307" s="86">
        <f t="shared" si="54"/>
        <v>0</v>
      </c>
      <c r="C307" s="86">
        <f t="shared" si="55"/>
        <v>0</v>
      </c>
      <c r="D307" s="86">
        <f t="shared" si="56"/>
        <v>0</v>
      </c>
      <c r="E307" s="67"/>
    </row>
    <row r="308" spans="1:5" x14ac:dyDescent="0.2">
      <c r="A308" s="67" t="str">
        <f>IF(D307&gt;0.005,"November","")</f>
        <v/>
      </c>
      <c r="B308" s="86">
        <f t="shared" si="54"/>
        <v>0</v>
      </c>
      <c r="C308" s="86">
        <f t="shared" si="55"/>
        <v>0</v>
      </c>
      <c r="D308" s="86">
        <f t="shared" si="56"/>
        <v>0</v>
      </c>
      <c r="E308" s="67"/>
    </row>
    <row r="309" spans="1:5" x14ac:dyDescent="0.2">
      <c r="A309" s="67" t="str">
        <f>IF(D308&gt;0.005,"December","")</f>
        <v/>
      </c>
      <c r="B309" s="86">
        <f t="shared" si="54"/>
        <v>0</v>
      </c>
      <c r="C309" s="86">
        <f t="shared" si="55"/>
        <v>0</v>
      </c>
      <c r="D309" s="86">
        <f t="shared" si="56"/>
        <v>0</v>
      </c>
      <c r="E309" s="67"/>
    </row>
    <row r="310" spans="1:5" x14ac:dyDescent="0.2">
      <c r="A310" s="87" t="str">
        <f>"Total "&amp;YEAR($A$10)+19</f>
        <v>Total 2022</v>
      </c>
      <c r="B310" s="88">
        <f>SUM(B298:B309)</f>
        <v>0</v>
      </c>
      <c r="C310" s="88">
        <f>SUM(C298:C309)</f>
        <v>0</v>
      </c>
      <c r="D310" s="89"/>
      <c r="E310" s="67"/>
    </row>
    <row r="311" spans="1:5" x14ac:dyDescent="0.2">
      <c r="A311" s="69"/>
      <c r="B311" s="90"/>
      <c r="C311" s="90"/>
      <c r="D311" s="86"/>
      <c r="E311" s="67"/>
    </row>
    <row r="312" spans="1:5" x14ac:dyDescent="0.2">
      <c r="A312" s="67"/>
      <c r="B312" s="84" t="s">
        <v>69</v>
      </c>
      <c r="C312" s="84" t="s">
        <v>70</v>
      </c>
      <c r="D312" s="84" t="s">
        <v>71</v>
      </c>
      <c r="E312" s="67"/>
    </row>
    <row r="313" spans="1:5" x14ac:dyDescent="0.2">
      <c r="A313" s="67" t="str">
        <f>IF(D309&gt;0.005,"January","")</f>
        <v/>
      </c>
      <c r="B313" s="86">
        <f>IF(D309&gt;0,ROUND(D309*($D$5/1200),2),0)</f>
        <v>0</v>
      </c>
      <c r="C313" s="86">
        <f>IF(D309&lt;$B$7,D309,$B$7-B313)</f>
        <v>0</v>
      </c>
      <c r="D313" s="86">
        <f>IF(D309-C313&gt;0,D309-C313,0)</f>
        <v>0</v>
      </c>
      <c r="E313" s="67"/>
    </row>
    <row r="314" spans="1:5" x14ac:dyDescent="0.2">
      <c r="A314" s="67" t="str">
        <f>IF(D313&gt;0.005,"February","")</f>
        <v/>
      </c>
      <c r="B314" s="86">
        <f t="shared" ref="B314:B324" si="57">IF(D313&gt;0,ROUND(D313*($D$5/1200),2),0)</f>
        <v>0</v>
      </c>
      <c r="C314" s="86">
        <f t="shared" ref="C314:C324" si="58">IF(D313&lt;$B$7,D313,$B$7-B314)</f>
        <v>0</v>
      </c>
      <c r="D314" s="86">
        <f t="shared" ref="D314:D324" si="59">IF(D313-C314&gt;0,D313-C314,0)</f>
        <v>0</v>
      </c>
      <c r="E314" s="67"/>
    </row>
    <row r="315" spans="1:5" x14ac:dyDescent="0.2">
      <c r="A315" s="67" t="str">
        <f>IF(D314&gt;0.005,"March","")</f>
        <v/>
      </c>
      <c r="B315" s="86">
        <f t="shared" si="57"/>
        <v>0</v>
      </c>
      <c r="C315" s="86">
        <f t="shared" si="58"/>
        <v>0</v>
      </c>
      <c r="D315" s="86">
        <f t="shared" si="59"/>
        <v>0</v>
      </c>
      <c r="E315" s="67"/>
    </row>
    <row r="316" spans="1:5" x14ac:dyDescent="0.2">
      <c r="A316" s="67" t="str">
        <f>IF(D315&gt;0.005,"April","")</f>
        <v/>
      </c>
      <c r="B316" s="86">
        <f t="shared" si="57"/>
        <v>0</v>
      </c>
      <c r="C316" s="86">
        <f t="shared" si="58"/>
        <v>0</v>
      </c>
      <c r="D316" s="86">
        <f t="shared" si="59"/>
        <v>0</v>
      </c>
      <c r="E316" s="67"/>
    </row>
    <row r="317" spans="1:5" x14ac:dyDescent="0.2">
      <c r="A317" s="67" t="str">
        <f>IF(D316&gt;0.005,"May","")</f>
        <v/>
      </c>
      <c r="B317" s="86">
        <f t="shared" si="57"/>
        <v>0</v>
      </c>
      <c r="C317" s="86">
        <f t="shared" si="58"/>
        <v>0</v>
      </c>
      <c r="D317" s="86">
        <f t="shared" si="59"/>
        <v>0</v>
      </c>
      <c r="E317" s="67"/>
    </row>
    <row r="318" spans="1:5" x14ac:dyDescent="0.2">
      <c r="A318" s="67" t="str">
        <f>IF(D317&gt;0.005,"June","")</f>
        <v/>
      </c>
      <c r="B318" s="86">
        <f t="shared" si="57"/>
        <v>0</v>
      </c>
      <c r="C318" s="86">
        <f t="shared" si="58"/>
        <v>0</v>
      </c>
      <c r="D318" s="86">
        <f t="shared" si="59"/>
        <v>0</v>
      </c>
      <c r="E318" s="67"/>
    </row>
    <row r="319" spans="1:5" x14ac:dyDescent="0.2">
      <c r="A319" s="67" t="str">
        <f>IF(D318&gt;0.005,"July","")</f>
        <v/>
      </c>
      <c r="B319" s="86">
        <f t="shared" si="57"/>
        <v>0</v>
      </c>
      <c r="C319" s="86">
        <f t="shared" si="58"/>
        <v>0</v>
      </c>
      <c r="D319" s="86">
        <f t="shared" si="59"/>
        <v>0</v>
      </c>
      <c r="E319" s="67"/>
    </row>
    <row r="320" spans="1:5" x14ac:dyDescent="0.2">
      <c r="A320" s="67" t="str">
        <f>IF(D319&gt;0.005,"August","")</f>
        <v/>
      </c>
      <c r="B320" s="86">
        <f t="shared" si="57"/>
        <v>0</v>
      </c>
      <c r="C320" s="86">
        <f t="shared" si="58"/>
        <v>0</v>
      </c>
      <c r="D320" s="86">
        <f t="shared" si="59"/>
        <v>0</v>
      </c>
      <c r="E320" s="67"/>
    </row>
    <row r="321" spans="1:5" x14ac:dyDescent="0.2">
      <c r="A321" s="67" t="str">
        <f>IF(D320&gt;0.005,"September","")</f>
        <v/>
      </c>
      <c r="B321" s="86">
        <f t="shared" si="57"/>
        <v>0</v>
      </c>
      <c r="C321" s="86">
        <f t="shared" si="58"/>
        <v>0</v>
      </c>
      <c r="D321" s="86">
        <f t="shared" si="59"/>
        <v>0</v>
      </c>
      <c r="E321" s="67"/>
    </row>
    <row r="322" spans="1:5" x14ac:dyDescent="0.2">
      <c r="A322" s="67" t="str">
        <f>IF(D321&gt;0.005,"October","")</f>
        <v/>
      </c>
      <c r="B322" s="86">
        <f t="shared" si="57"/>
        <v>0</v>
      </c>
      <c r="C322" s="86">
        <f t="shared" si="58"/>
        <v>0</v>
      </c>
      <c r="D322" s="86">
        <f t="shared" si="59"/>
        <v>0</v>
      </c>
      <c r="E322" s="67"/>
    </row>
    <row r="323" spans="1:5" x14ac:dyDescent="0.2">
      <c r="A323" s="67" t="str">
        <f>IF(D322&gt;0.005,"November","")</f>
        <v/>
      </c>
      <c r="B323" s="86">
        <f t="shared" si="57"/>
        <v>0</v>
      </c>
      <c r="C323" s="86">
        <f t="shared" si="58"/>
        <v>0</v>
      </c>
      <c r="D323" s="86">
        <f t="shared" si="59"/>
        <v>0</v>
      </c>
      <c r="E323" s="67"/>
    </row>
    <row r="324" spans="1:5" x14ac:dyDescent="0.2">
      <c r="A324" s="67" t="str">
        <f>IF(D323&gt;0.005,"December","")</f>
        <v/>
      </c>
      <c r="B324" s="86">
        <f t="shared" si="57"/>
        <v>0</v>
      </c>
      <c r="C324" s="86">
        <f t="shared" si="58"/>
        <v>0</v>
      </c>
      <c r="D324" s="86">
        <f t="shared" si="59"/>
        <v>0</v>
      </c>
      <c r="E324" s="67"/>
    </row>
    <row r="325" spans="1:5" x14ac:dyDescent="0.2">
      <c r="A325" s="87" t="str">
        <f>"Total "&amp;YEAR($A$10)+20</f>
        <v>Total 2023</v>
      </c>
      <c r="B325" s="88">
        <f>SUM(B313:B324)</f>
        <v>0</v>
      </c>
      <c r="C325" s="88">
        <f>SUM(C313:C324)</f>
        <v>0</v>
      </c>
      <c r="D325" s="89"/>
      <c r="E325" s="67"/>
    </row>
    <row r="326" spans="1:5" x14ac:dyDescent="0.2">
      <c r="A326" s="67"/>
      <c r="B326" s="86"/>
      <c r="C326" s="86"/>
      <c r="D326" s="86"/>
      <c r="E326" s="67"/>
    </row>
    <row r="327" spans="1:5" x14ac:dyDescent="0.2">
      <c r="A327" s="67"/>
      <c r="B327" s="84" t="s">
        <v>69</v>
      </c>
      <c r="C327" s="84" t="s">
        <v>70</v>
      </c>
      <c r="D327" s="84" t="s">
        <v>71</v>
      </c>
      <c r="E327" s="67"/>
    </row>
    <row r="328" spans="1:5" x14ac:dyDescent="0.2">
      <c r="A328" s="67" t="str">
        <f>IF(D324&gt;0.005,"January","")</f>
        <v/>
      </c>
      <c r="B328" s="86">
        <f>IF(D324&gt;0,ROUND(D324*($D$5/1200),2),0)</f>
        <v>0</v>
      </c>
      <c r="C328" s="86">
        <f>IF(D324&lt;$B$7,D324,$B$7-B328)</f>
        <v>0</v>
      </c>
      <c r="D328" s="86">
        <f>IF(D324-C328&gt;0,D324-C328,0)</f>
        <v>0</v>
      </c>
      <c r="E328" s="67"/>
    </row>
    <row r="329" spans="1:5" x14ac:dyDescent="0.2">
      <c r="A329" s="67" t="str">
        <f>IF(D328&gt;0.005,"February","")</f>
        <v/>
      </c>
      <c r="B329" s="86">
        <f t="shared" ref="B329:B339" si="60">IF(D328&gt;0,ROUND(D328*($D$5/1200),2),0)</f>
        <v>0</v>
      </c>
      <c r="C329" s="86">
        <f t="shared" ref="C329:C339" si="61">IF(D328&lt;$B$7,D328,$B$7-B329)</f>
        <v>0</v>
      </c>
      <c r="D329" s="86">
        <f t="shared" ref="D329:D339" si="62">IF(D328-C329&gt;0,D328-C329,0)</f>
        <v>0</v>
      </c>
      <c r="E329" s="67"/>
    </row>
    <row r="330" spans="1:5" x14ac:dyDescent="0.2">
      <c r="A330" s="67" t="str">
        <f>IF(D329&gt;0.005,"March","")</f>
        <v/>
      </c>
      <c r="B330" s="86">
        <f t="shared" si="60"/>
        <v>0</v>
      </c>
      <c r="C330" s="86">
        <f t="shared" si="61"/>
        <v>0</v>
      </c>
      <c r="D330" s="86">
        <f t="shared" si="62"/>
        <v>0</v>
      </c>
      <c r="E330" s="67"/>
    </row>
    <row r="331" spans="1:5" x14ac:dyDescent="0.2">
      <c r="A331" s="67" t="str">
        <f>IF(D330&gt;0.005,"April","")</f>
        <v/>
      </c>
      <c r="B331" s="86">
        <f t="shared" si="60"/>
        <v>0</v>
      </c>
      <c r="C331" s="86">
        <f t="shared" si="61"/>
        <v>0</v>
      </c>
      <c r="D331" s="86">
        <f t="shared" si="62"/>
        <v>0</v>
      </c>
      <c r="E331" s="67"/>
    </row>
    <row r="332" spans="1:5" x14ac:dyDescent="0.2">
      <c r="A332" s="67" t="str">
        <f>IF(D331&gt;0.005,"May","")</f>
        <v/>
      </c>
      <c r="B332" s="86">
        <f t="shared" si="60"/>
        <v>0</v>
      </c>
      <c r="C332" s="86">
        <f t="shared" si="61"/>
        <v>0</v>
      </c>
      <c r="D332" s="86">
        <f t="shared" si="62"/>
        <v>0</v>
      </c>
      <c r="E332" s="67"/>
    </row>
    <row r="333" spans="1:5" x14ac:dyDescent="0.2">
      <c r="A333" s="67" t="str">
        <f>IF(D332&gt;0.005,"June","")</f>
        <v/>
      </c>
      <c r="B333" s="86">
        <f t="shared" si="60"/>
        <v>0</v>
      </c>
      <c r="C333" s="86">
        <f t="shared" si="61"/>
        <v>0</v>
      </c>
      <c r="D333" s="86">
        <f t="shared" si="62"/>
        <v>0</v>
      </c>
      <c r="E333" s="67"/>
    </row>
    <row r="334" spans="1:5" x14ac:dyDescent="0.2">
      <c r="A334" s="67" t="str">
        <f>IF(D333&gt;0.005,"July","")</f>
        <v/>
      </c>
      <c r="B334" s="86">
        <f t="shared" si="60"/>
        <v>0</v>
      </c>
      <c r="C334" s="86">
        <f t="shared" si="61"/>
        <v>0</v>
      </c>
      <c r="D334" s="86">
        <f t="shared" si="62"/>
        <v>0</v>
      </c>
      <c r="E334" s="67"/>
    </row>
    <row r="335" spans="1:5" x14ac:dyDescent="0.2">
      <c r="A335" s="67" t="str">
        <f>IF(D334&gt;0.005,"August","")</f>
        <v/>
      </c>
      <c r="B335" s="86">
        <f t="shared" si="60"/>
        <v>0</v>
      </c>
      <c r="C335" s="86">
        <f t="shared" si="61"/>
        <v>0</v>
      </c>
      <c r="D335" s="86">
        <f t="shared" si="62"/>
        <v>0</v>
      </c>
      <c r="E335" s="67"/>
    </row>
    <row r="336" spans="1:5" x14ac:dyDescent="0.2">
      <c r="A336" s="67" t="str">
        <f>IF(D335&gt;0.005,"September","")</f>
        <v/>
      </c>
      <c r="B336" s="86">
        <f t="shared" si="60"/>
        <v>0</v>
      </c>
      <c r="C336" s="86">
        <f t="shared" si="61"/>
        <v>0</v>
      </c>
      <c r="D336" s="86">
        <f t="shared" si="62"/>
        <v>0</v>
      </c>
      <c r="E336" s="67"/>
    </row>
    <row r="337" spans="1:5" x14ac:dyDescent="0.2">
      <c r="A337" s="67" t="str">
        <f>IF(D336&gt;0.005,"October","")</f>
        <v/>
      </c>
      <c r="B337" s="86">
        <f t="shared" si="60"/>
        <v>0</v>
      </c>
      <c r="C337" s="86">
        <f t="shared" si="61"/>
        <v>0</v>
      </c>
      <c r="D337" s="86">
        <f t="shared" si="62"/>
        <v>0</v>
      </c>
      <c r="E337" s="67"/>
    </row>
    <row r="338" spans="1:5" x14ac:dyDescent="0.2">
      <c r="A338" s="67" t="str">
        <f>IF(D337&gt;0.005,"November","")</f>
        <v/>
      </c>
      <c r="B338" s="86">
        <f t="shared" si="60"/>
        <v>0</v>
      </c>
      <c r="C338" s="86">
        <f t="shared" si="61"/>
        <v>0</v>
      </c>
      <c r="D338" s="86">
        <f t="shared" si="62"/>
        <v>0</v>
      </c>
      <c r="E338" s="67"/>
    </row>
    <row r="339" spans="1:5" x14ac:dyDescent="0.2">
      <c r="A339" s="67" t="str">
        <f>IF(D338&gt;0.005,"December","")</f>
        <v/>
      </c>
      <c r="B339" s="86">
        <f t="shared" si="60"/>
        <v>0</v>
      </c>
      <c r="C339" s="86">
        <f t="shared" si="61"/>
        <v>0</v>
      </c>
      <c r="D339" s="86">
        <f t="shared" si="62"/>
        <v>0</v>
      </c>
      <c r="E339" s="67"/>
    </row>
    <row r="340" spans="1:5" x14ac:dyDescent="0.2">
      <c r="A340" s="87" t="str">
        <f>"Total "&amp;YEAR($A$10)+21</f>
        <v>Total 2024</v>
      </c>
      <c r="B340" s="88">
        <f>SUM(B328:B339)</f>
        <v>0</v>
      </c>
      <c r="C340" s="88">
        <f>SUM(C328:C339)</f>
        <v>0</v>
      </c>
      <c r="D340" s="89"/>
      <c r="E340" s="67"/>
    </row>
    <row r="341" spans="1:5" x14ac:dyDescent="0.2">
      <c r="A341" s="67"/>
      <c r="B341" s="86"/>
      <c r="C341" s="86"/>
      <c r="D341" s="86"/>
      <c r="E341" s="67"/>
    </row>
    <row r="342" spans="1:5" x14ac:dyDescent="0.2">
      <c r="A342" s="67"/>
      <c r="B342" s="84" t="s">
        <v>69</v>
      </c>
      <c r="C342" s="84" t="s">
        <v>70</v>
      </c>
      <c r="D342" s="84" t="s">
        <v>71</v>
      </c>
      <c r="E342" s="67"/>
    </row>
    <row r="343" spans="1:5" x14ac:dyDescent="0.2">
      <c r="A343" s="67" t="str">
        <f>IF(D339&gt;0.005,"January","")</f>
        <v/>
      </c>
      <c r="B343" s="86">
        <f>IF(D339&gt;0,ROUND(D339*($D$5/1200),2),0)</f>
        <v>0</v>
      </c>
      <c r="C343" s="86">
        <f>IF(D339&lt;$B$7,D339,$B$7-B343)</f>
        <v>0</v>
      </c>
      <c r="D343" s="86">
        <f>IF(D339-C343&gt;0,D339-C343,0)</f>
        <v>0</v>
      </c>
      <c r="E343" s="67"/>
    </row>
    <row r="344" spans="1:5" x14ac:dyDescent="0.2">
      <c r="A344" s="67" t="str">
        <f>IF(D343&gt;0.005,"February","")</f>
        <v/>
      </c>
      <c r="B344" s="86">
        <f t="shared" ref="B344:B354" si="63">IF(D343&gt;0,ROUND(D343*($D$5/1200),2),0)</f>
        <v>0</v>
      </c>
      <c r="C344" s="86">
        <f t="shared" ref="C344:C354" si="64">IF(D343&lt;$B$7,D343,$B$7-B344)</f>
        <v>0</v>
      </c>
      <c r="D344" s="86">
        <f t="shared" ref="D344:D354" si="65">IF(D343-C344&gt;0,D343-C344,0)</f>
        <v>0</v>
      </c>
      <c r="E344" s="67"/>
    </row>
    <row r="345" spans="1:5" x14ac:dyDescent="0.2">
      <c r="A345" s="67" t="str">
        <f>IF(D344&gt;0.005,"March","")</f>
        <v/>
      </c>
      <c r="B345" s="86">
        <f t="shared" si="63"/>
        <v>0</v>
      </c>
      <c r="C345" s="86">
        <f t="shared" si="64"/>
        <v>0</v>
      </c>
      <c r="D345" s="86">
        <f t="shared" si="65"/>
        <v>0</v>
      </c>
      <c r="E345" s="67"/>
    </row>
    <row r="346" spans="1:5" x14ac:dyDescent="0.2">
      <c r="A346" s="67" t="str">
        <f>IF(D345&gt;0.005,"April","")</f>
        <v/>
      </c>
      <c r="B346" s="86">
        <f t="shared" si="63"/>
        <v>0</v>
      </c>
      <c r="C346" s="86">
        <f t="shared" si="64"/>
        <v>0</v>
      </c>
      <c r="D346" s="86">
        <f t="shared" si="65"/>
        <v>0</v>
      </c>
      <c r="E346" s="67"/>
    </row>
    <row r="347" spans="1:5" x14ac:dyDescent="0.2">
      <c r="A347" s="67" t="str">
        <f>IF(D346&gt;0.005,"May","")</f>
        <v/>
      </c>
      <c r="B347" s="86">
        <f t="shared" si="63"/>
        <v>0</v>
      </c>
      <c r="C347" s="86">
        <f t="shared" si="64"/>
        <v>0</v>
      </c>
      <c r="D347" s="86">
        <f t="shared" si="65"/>
        <v>0</v>
      </c>
      <c r="E347" s="67"/>
    </row>
    <row r="348" spans="1:5" x14ac:dyDescent="0.2">
      <c r="A348" s="67" t="str">
        <f>IF(D347&gt;0.005,"June","")</f>
        <v/>
      </c>
      <c r="B348" s="86">
        <f t="shared" si="63"/>
        <v>0</v>
      </c>
      <c r="C348" s="86">
        <f t="shared" si="64"/>
        <v>0</v>
      </c>
      <c r="D348" s="86">
        <f t="shared" si="65"/>
        <v>0</v>
      </c>
      <c r="E348" s="67"/>
    </row>
    <row r="349" spans="1:5" x14ac:dyDescent="0.2">
      <c r="A349" s="67" t="str">
        <f>IF(D348&gt;0.005,"July","")</f>
        <v/>
      </c>
      <c r="B349" s="86">
        <f t="shared" si="63"/>
        <v>0</v>
      </c>
      <c r="C349" s="86">
        <f t="shared" si="64"/>
        <v>0</v>
      </c>
      <c r="D349" s="86">
        <f t="shared" si="65"/>
        <v>0</v>
      </c>
      <c r="E349" s="67"/>
    </row>
    <row r="350" spans="1:5" x14ac:dyDescent="0.2">
      <c r="A350" s="67" t="str">
        <f>IF(D349&gt;0.005,"August","")</f>
        <v/>
      </c>
      <c r="B350" s="86">
        <f t="shared" si="63"/>
        <v>0</v>
      </c>
      <c r="C350" s="86">
        <f t="shared" si="64"/>
        <v>0</v>
      </c>
      <c r="D350" s="86">
        <f t="shared" si="65"/>
        <v>0</v>
      </c>
      <c r="E350" s="67"/>
    </row>
    <row r="351" spans="1:5" x14ac:dyDescent="0.2">
      <c r="A351" s="67" t="str">
        <f>IF(D350&gt;0.005,"September","")</f>
        <v/>
      </c>
      <c r="B351" s="86">
        <f t="shared" si="63"/>
        <v>0</v>
      </c>
      <c r="C351" s="86">
        <f t="shared" si="64"/>
        <v>0</v>
      </c>
      <c r="D351" s="86">
        <f t="shared" si="65"/>
        <v>0</v>
      </c>
      <c r="E351" s="67"/>
    </row>
    <row r="352" spans="1:5" x14ac:dyDescent="0.2">
      <c r="A352" s="67" t="str">
        <f>IF(D351&gt;0.005,"October","")</f>
        <v/>
      </c>
      <c r="B352" s="86">
        <f t="shared" si="63"/>
        <v>0</v>
      </c>
      <c r="C352" s="86">
        <f t="shared" si="64"/>
        <v>0</v>
      </c>
      <c r="D352" s="86">
        <f t="shared" si="65"/>
        <v>0</v>
      </c>
      <c r="E352" s="67"/>
    </row>
    <row r="353" spans="1:5" x14ac:dyDescent="0.2">
      <c r="A353" s="67" t="str">
        <f>IF(D352&gt;0.005,"November","")</f>
        <v/>
      </c>
      <c r="B353" s="86">
        <f t="shared" si="63"/>
        <v>0</v>
      </c>
      <c r="C353" s="86">
        <f t="shared" si="64"/>
        <v>0</v>
      </c>
      <c r="D353" s="86">
        <f t="shared" si="65"/>
        <v>0</v>
      </c>
      <c r="E353" s="67"/>
    </row>
    <row r="354" spans="1:5" x14ac:dyDescent="0.2">
      <c r="A354" s="67" t="str">
        <f>IF(D353&gt;0.005,"December","")</f>
        <v/>
      </c>
      <c r="B354" s="86">
        <f t="shared" si="63"/>
        <v>0</v>
      </c>
      <c r="C354" s="86">
        <f t="shared" si="64"/>
        <v>0</v>
      </c>
      <c r="D354" s="86">
        <f t="shared" si="65"/>
        <v>0</v>
      </c>
      <c r="E354" s="67"/>
    </row>
    <row r="355" spans="1:5" x14ac:dyDescent="0.2">
      <c r="A355" s="87" t="str">
        <f>"Total "&amp;YEAR($A$10)+22</f>
        <v>Total 2025</v>
      </c>
      <c r="B355" s="88">
        <f>SUM(B343:B354)</f>
        <v>0</v>
      </c>
      <c r="C355" s="88">
        <f>SUM(C343:C354)</f>
        <v>0</v>
      </c>
      <c r="D355" s="89"/>
      <c r="E355" s="67"/>
    </row>
    <row r="356" spans="1:5" x14ac:dyDescent="0.2">
      <c r="A356" s="69"/>
      <c r="B356" s="90"/>
      <c r="C356" s="90"/>
      <c r="D356" s="86"/>
      <c r="E356" s="67"/>
    </row>
    <row r="357" spans="1:5" x14ac:dyDescent="0.2">
      <c r="A357" s="67"/>
      <c r="B357" s="84" t="s">
        <v>69</v>
      </c>
      <c r="C357" s="84" t="s">
        <v>70</v>
      </c>
      <c r="D357" s="84" t="s">
        <v>71</v>
      </c>
      <c r="E357" s="67"/>
    </row>
    <row r="358" spans="1:5" x14ac:dyDescent="0.2">
      <c r="A358" s="67" t="str">
        <f>IF(D354&gt;0.005,"January","")</f>
        <v/>
      </c>
      <c r="B358" s="86">
        <f>IF(D354&gt;0,ROUND(D354*($D$5/1200),2),0)</f>
        <v>0</v>
      </c>
      <c r="C358" s="86">
        <f>IF(D354&lt;$B$7,D354,$B$7-B358)</f>
        <v>0</v>
      </c>
      <c r="D358" s="86">
        <f>IF(D354-C358&gt;0,D354-C358,0)</f>
        <v>0</v>
      </c>
      <c r="E358" s="67"/>
    </row>
    <row r="359" spans="1:5" x14ac:dyDescent="0.2">
      <c r="A359" s="67" t="str">
        <f>IF(D358&gt;0.005,"February","")</f>
        <v/>
      </c>
      <c r="B359" s="86">
        <f t="shared" ref="B359:B369" si="66">IF(D358&gt;0,ROUND(D358*($D$5/1200),2),0)</f>
        <v>0</v>
      </c>
      <c r="C359" s="86">
        <f t="shared" ref="C359:C369" si="67">IF(D358&lt;$B$7,D358,$B$7-B359)</f>
        <v>0</v>
      </c>
      <c r="D359" s="86">
        <f t="shared" ref="D359:D369" si="68">IF(D358-C359&gt;0,D358-C359,0)</f>
        <v>0</v>
      </c>
      <c r="E359" s="67"/>
    </row>
    <row r="360" spans="1:5" x14ac:dyDescent="0.2">
      <c r="A360" s="67" t="str">
        <f>IF(D359&gt;0.005,"March","")</f>
        <v/>
      </c>
      <c r="B360" s="86">
        <f t="shared" si="66"/>
        <v>0</v>
      </c>
      <c r="C360" s="86">
        <f t="shared" si="67"/>
        <v>0</v>
      </c>
      <c r="D360" s="86">
        <f t="shared" si="68"/>
        <v>0</v>
      </c>
      <c r="E360" s="67"/>
    </row>
    <row r="361" spans="1:5" x14ac:dyDescent="0.2">
      <c r="A361" s="67" t="str">
        <f>IF(D360&gt;0.005,"April","")</f>
        <v/>
      </c>
      <c r="B361" s="86">
        <f t="shared" si="66"/>
        <v>0</v>
      </c>
      <c r="C361" s="86">
        <f t="shared" si="67"/>
        <v>0</v>
      </c>
      <c r="D361" s="86">
        <f t="shared" si="68"/>
        <v>0</v>
      </c>
      <c r="E361" s="67"/>
    </row>
    <row r="362" spans="1:5" x14ac:dyDescent="0.2">
      <c r="A362" s="67" t="str">
        <f>IF(D361&gt;0.005,"May","")</f>
        <v/>
      </c>
      <c r="B362" s="86">
        <f t="shared" si="66"/>
        <v>0</v>
      </c>
      <c r="C362" s="86">
        <f t="shared" si="67"/>
        <v>0</v>
      </c>
      <c r="D362" s="86">
        <f t="shared" si="68"/>
        <v>0</v>
      </c>
      <c r="E362" s="67"/>
    </row>
    <row r="363" spans="1:5" x14ac:dyDescent="0.2">
      <c r="A363" s="67" t="str">
        <f>IF(D362&gt;0.005,"June","")</f>
        <v/>
      </c>
      <c r="B363" s="86">
        <f t="shared" si="66"/>
        <v>0</v>
      </c>
      <c r="C363" s="86">
        <f t="shared" si="67"/>
        <v>0</v>
      </c>
      <c r="D363" s="86">
        <f t="shared" si="68"/>
        <v>0</v>
      </c>
      <c r="E363" s="67"/>
    </row>
    <row r="364" spans="1:5" x14ac:dyDescent="0.2">
      <c r="A364" s="67" t="str">
        <f>IF(D363&gt;0.005,"July","")</f>
        <v/>
      </c>
      <c r="B364" s="86">
        <f t="shared" si="66"/>
        <v>0</v>
      </c>
      <c r="C364" s="86">
        <f t="shared" si="67"/>
        <v>0</v>
      </c>
      <c r="D364" s="86">
        <f t="shared" si="68"/>
        <v>0</v>
      </c>
      <c r="E364" s="67"/>
    </row>
    <row r="365" spans="1:5" x14ac:dyDescent="0.2">
      <c r="A365" s="67" t="str">
        <f>IF(D364&gt;0.005,"August","")</f>
        <v/>
      </c>
      <c r="B365" s="86">
        <f t="shared" si="66"/>
        <v>0</v>
      </c>
      <c r="C365" s="86">
        <f t="shared" si="67"/>
        <v>0</v>
      </c>
      <c r="D365" s="86">
        <f t="shared" si="68"/>
        <v>0</v>
      </c>
      <c r="E365" s="67"/>
    </row>
    <row r="366" spans="1:5" x14ac:dyDescent="0.2">
      <c r="A366" s="67" t="str">
        <f>IF(D365&gt;0.005,"September","")</f>
        <v/>
      </c>
      <c r="B366" s="86">
        <f t="shared" si="66"/>
        <v>0</v>
      </c>
      <c r="C366" s="86">
        <f t="shared" si="67"/>
        <v>0</v>
      </c>
      <c r="D366" s="86">
        <f t="shared" si="68"/>
        <v>0</v>
      </c>
      <c r="E366" s="67"/>
    </row>
    <row r="367" spans="1:5" x14ac:dyDescent="0.2">
      <c r="A367" s="67" t="str">
        <f>IF(D366&gt;0.005,"October","")</f>
        <v/>
      </c>
      <c r="B367" s="86">
        <f t="shared" si="66"/>
        <v>0</v>
      </c>
      <c r="C367" s="86">
        <f t="shared" si="67"/>
        <v>0</v>
      </c>
      <c r="D367" s="86">
        <f t="shared" si="68"/>
        <v>0</v>
      </c>
      <c r="E367" s="67"/>
    </row>
    <row r="368" spans="1:5" x14ac:dyDescent="0.2">
      <c r="A368" s="67" t="str">
        <f>IF(D367&gt;0.005,"November","")</f>
        <v/>
      </c>
      <c r="B368" s="86">
        <f t="shared" si="66"/>
        <v>0</v>
      </c>
      <c r="C368" s="86">
        <f t="shared" si="67"/>
        <v>0</v>
      </c>
      <c r="D368" s="86">
        <f t="shared" si="68"/>
        <v>0</v>
      </c>
      <c r="E368" s="67"/>
    </row>
    <row r="369" spans="1:5" x14ac:dyDescent="0.2">
      <c r="A369" s="67" t="str">
        <f>IF(D368&gt;0.005,"December","")</f>
        <v/>
      </c>
      <c r="B369" s="86">
        <f t="shared" si="66"/>
        <v>0</v>
      </c>
      <c r="C369" s="86">
        <f t="shared" si="67"/>
        <v>0</v>
      </c>
      <c r="D369" s="86">
        <f t="shared" si="68"/>
        <v>0</v>
      </c>
      <c r="E369" s="67"/>
    </row>
    <row r="370" spans="1:5" x14ac:dyDescent="0.2">
      <c r="A370" s="87" t="str">
        <f>"Total "&amp;YEAR($A$10)+23</f>
        <v>Total 2026</v>
      </c>
      <c r="B370" s="88">
        <f>SUM(B358:B369)</f>
        <v>0</v>
      </c>
      <c r="C370" s="88">
        <f>SUM(C358:C369)</f>
        <v>0</v>
      </c>
      <c r="D370" s="89"/>
      <c r="E370" s="67"/>
    </row>
    <row r="371" spans="1:5" x14ac:dyDescent="0.2">
      <c r="A371" s="67"/>
      <c r="B371" s="86"/>
      <c r="C371" s="86"/>
      <c r="D371" s="86"/>
      <c r="E371" s="67"/>
    </row>
    <row r="372" spans="1:5" x14ac:dyDescent="0.2">
      <c r="A372" s="67"/>
      <c r="B372" s="84" t="s">
        <v>69</v>
      </c>
      <c r="C372" s="84" t="s">
        <v>70</v>
      </c>
      <c r="D372" s="84" t="s">
        <v>71</v>
      </c>
      <c r="E372" s="67"/>
    </row>
    <row r="373" spans="1:5" x14ac:dyDescent="0.2">
      <c r="A373" s="67" t="str">
        <f>IF(D369&gt;0.005,"January","")</f>
        <v/>
      </c>
      <c r="B373" s="86">
        <f>IF(D369&gt;0,ROUND(D369*($D$5/1200),2),0)</f>
        <v>0</v>
      </c>
      <c r="C373" s="86">
        <f>IF(D369&lt;$B$7,D369,$B$7-B373)</f>
        <v>0</v>
      </c>
      <c r="D373" s="86">
        <f>IF(D369-C373&gt;0,D369-C373,0)</f>
        <v>0</v>
      </c>
      <c r="E373" s="67"/>
    </row>
    <row r="374" spans="1:5" x14ac:dyDescent="0.2">
      <c r="A374" s="67" t="str">
        <f>IF(D373&gt;0.005,"February","")</f>
        <v/>
      </c>
      <c r="B374" s="86">
        <f t="shared" ref="B374:B384" si="69">IF(D373&gt;0,ROUND(D373*($D$5/1200),2),0)</f>
        <v>0</v>
      </c>
      <c r="C374" s="86">
        <f t="shared" ref="C374:C384" si="70">IF(D373&lt;$B$7,D373,$B$7-B374)</f>
        <v>0</v>
      </c>
      <c r="D374" s="86">
        <f t="shared" ref="D374:D384" si="71">IF(D373-C374&gt;0,D373-C374,0)</f>
        <v>0</v>
      </c>
      <c r="E374" s="67"/>
    </row>
    <row r="375" spans="1:5" x14ac:dyDescent="0.2">
      <c r="A375" s="67" t="str">
        <f>IF(D374&gt;0.005,"March","")</f>
        <v/>
      </c>
      <c r="B375" s="86">
        <f t="shared" si="69"/>
        <v>0</v>
      </c>
      <c r="C375" s="86">
        <f t="shared" si="70"/>
        <v>0</v>
      </c>
      <c r="D375" s="86">
        <f t="shared" si="71"/>
        <v>0</v>
      </c>
      <c r="E375" s="67"/>
    </row>
    <row r="376" spans="1:5" x14ac:dyDescent="0.2">
      <c r="A376" s="67" t="str">
        <f>IF(D375&gt;0.005,"April","")</f>
        <v/>
      </c>
      <c r="B376" s="86">
        <f t="shared" si="69"/>
        <v>0</v>
      </c>
      <c r="C376" s="86">
        <f t="shared" si="70"/>
        <v>0</v>
      </c>
      <c r="D376" s="86">
        <f t="shared" si="71"/>
        <v>0</v>
      </c>
      <c r="E376" s="67"/>
    </row>
    <row r="377" spans="1:5" x14ac:dyDescent="0.2">
      <c r="A377" s="67" t="str">
        <f>IF(D376&gt;0.005,"May","")</f>
        <v/>
      </c>
      <c r="B377" s="86">
        <f t="shared" si="69"/>
        <v>0</v>
      </c>
      <c r="C377" s="86">
        <f t="shared" si="70"/>
        <v>0</v>
      </c>
      <c r="D377" s="86">
        <f t="shared" si="71"/>
        <v>0</v>
      </c>
      <c r="E377" s="67"/>
    </row>
    <row r="378" spans="1:5" x14ac:dyDescent="0.2">
      <c r="A378" s="67" t="str">
        <f>IF(D377&gt;0.005,"June","")</f>
        <v/>
      </c>
      <c r="B378" s="86">
        <f t="shared" si="69"/>
        <v>0</v>
      </c>
      <c r="C378" s="86">
        <f t="shared" si="70"/>
        <v>0</v>
      </c>
      <c r="D378" s="86">
        <f t="shared" si="71"/>
        <v>0</v>
      </c>
      <c r="E378" s="67"/>
    </row>
    <row r="379" spans="1:5" x14ac:dyDescent="0.2">
      <c r="A379" s="67" t="str">
        <f>IF(D378&gt;0.005,"July","")</f>
        <v/>
      </c>
      <c r="B379" s="86">
        <f t="shared" si="69"/>
        <v>0</v>
      </c>
      <c r="C379" s="86">
        <f t="shared" si="70"/>
        <v>0</v>
      </c>
      <c r="D379" s="86">
        <f t="shared" si="71"/>
        <v>0</v>
      </c>
      <c r="E379" s="67"/>
    </row>
    <row r="380" spans="1:5" x14ac:dyDescent="0.2">
      <c r="A380" s="67" t="str">
        <f>IF(D379&gt;0.005,"August","")</f>
        <v/>
      </c>
      <c r="B380" s="86">
        <f t="shared" si="69"/>
        <v>0</v>
      </c>
      <c r="C380" s="86">
        <f t="shared" si="70"/>
        <v>0</v>
      </c>
      <c r="D380" s="86">
        <f t="shared" si="71"/>
        <v>0</v>
      </c>
      <c r="E380" s="67"/>
    </row>
    <row r="381" spans="1:5" x14ac:dyDescent="0.2">
      <c r="A381" s="67" t="str">
        <f>IF(D380&gt;0.005,"September","")</f>
        <v/>
      </c>
      <c r="B381" s="86">
        <f t="shared" si="69"/>
        <v>0</v>
      </c>
      <c r="C381" s="86">
        <f t="shared" si="70"/>
        <v>0</v>
      </c>
      <c r="D381" s="86">
        <f t="shared" si="71"/>
        <v>0</v>
      </c>
      <c r="E381" s="67"/>
    </row>
    <row r="382" spans="1:5" x14ac:dyDescent="0.2">
      <c r="A382" s="67" t="str">
        <f>IF(D381&gt;0.005,"October","")</f>
        <v/>
      </c>
      <c r="B382" s="86">
        <f t="shared" si="69"/>
        <v>0</v>
      </c>
      <c r="C382" s="86">
        <f t="shared" si="70"/>
        <v>0</v>
      </c>
      <c r="D382" s="86">
        <f t="shared" si="71"/>
        <v>0</v>
      </c>
      <c r="E382" s="67"/>
    </row>
    <row r="383" spans="1:5" x14ac:dyDescent="0.2">
      <c r="A383" s="67" t="str">
        <f>IF(D382&gt;0.005,"November","")</f>
        <v/>
      </c>
      <c r="B383" s="86">
        <f t="shared" si="69"/>
        <v>0</v>
      </c>
      <c r="C383" s="86">
        <f t="shared" si="70"/>
        <v>0</v>
      </c>
      <c r="D383" s="86">
        <f t="shared" si="71"/>
        <v>0</v>
      </c>
      <c r="E383" s="67"/>
    </row>
    <row r="384" spans="1:5" x14ac:dyDescent="0.2">
      <c r="A384" s="67" t="str">
        <f>IF(D383&gt;0.005,"December","")</f>
        <v/>
      </c>
      <c r="B384" s="86">
        <f t="shared" si="69"/>
        <v>0</v>
      </c>
      <c r="C384" s="86">
        <f t="shared" si="70"/>
        <v>0</v>
      </c>
      <c r="D384" s="86">
        <f t="shared" si="71"/>
        <v>0</v>
      </c>
      <c r="E384" s="67"/>
    </row>
    <row r="385" spans="1:5" x14ac:dyDescent="0.2">
      <c r="A385" s="87" t="str">
        <f>"Total "&amp;YEAR($A$10)+24</f>
        <v>Total 2027</v>
      </c>
      <c r="B385" s="88">
        <f>SUM(B373:B384)</f>
        <v>0</v>
      </c>
      <c r="C385" s="88">
        <f>SUM(C373:C384)</f>
        <v>0</v>
      </c>
      <c r="D385" s="89"/>
      <c r="E385" s="67"/>
    </row>
    <row r="386" spans="1:5" x14ac:dyDescent="0.2">
      <c r="A386" s="67"/>
      <c r="B386" s="86"/>
      <c r="C386" s="86"/>
      <c r="D386" s="86"/>
      <c r="E386" s="67"/>
    </row>
    <row r="387" spans="1:5" x14ac:dyDescent="0.2">
      <c r="A387" s="67"/>
      <c r="B387" s="84" t="s">
        <v>69</v>
      </c>
      <c r="C387" s="84" t="s">
        <v>70</v>
      </c>
      <c r="D387" s="84" t="s">
        <v>71</v>
      </c>
      <c r="E387" s="67"/>
    </row>
    <row r="388" spans="1:5" x14ac:dyDescent="0.2">
      <c r="A388" s="67" t="str">
        <f>IF(D384&gt;0.005,"January","")</f>
        <v/>
      </c>
      <c r="B388" s="86">
        <f>IF(D384&gt;0,ROUND(D384*($D$5/1200),2),0)</f>
        <v>0</v>
      </c>
      <c r="C388" s="86">
        <f>IF(D384&lt;$B$7,D384,$B$7-B388)</f>
        <v>0</v>
      </c>
      <c r="D388" s="86">
        <f>IF(D384-C388&gt;0,D384-C388,0)</f>
        <v>0</v>
      </c>
      <c r="E388" s="67"/>
    </row>
    <row r="389" spans="1:5" x14ac:dyDescent="0.2">
      <c r="A389" s="67" t="str">
        <f>IF(D388&gt;0.005,"February","")</f>
        <v/>
      </c>
      <c r="B389" s="86">
        <f t="shared" ref="B389:B399" si="72">IF(D388&gt;0,ROUND(D388*($D$5/1200),2),0)</f>
        <v>0</v>
      </c>
      <c r="C389" s="86">
        <f t="shared" ref="C389:C399" si="73">IF(D388&lt;$B$7,D388,$B$7-B389)</f>
        <v>0</v>
      </c>
      <c r="D389" s="86">
        <f t="shared" ref="D389:D399" si="74">IF(D388-C389&gt;0,D388-C389,0)</f>
        <v>0</v>
      </c>
      <c r="E389" s="67"/>
    </row>
    <row r="390" spans="1:5" x14ac:dyDescent="0.2">
      <c r="A390" s="67" t="str">
        <f>IF(D389&gt;0.005,"March","")</f>
        <v/>
      </c>
      <c r="B390" s="86">
        <f t="shared" si="72"/>
        <v>0</v>
      </c>
      <c r="C390" s="86">
        <f t="shared" si="73"/>
        <v>0</v>
      </c>
      <c r="D390" s="86">
        <f t="shared" si="74"/>
        <v>0</v>
      </c>
      <c r="E390" s="67"/>
    </row>
    <row r="391" spans="1:5" x14ac:dyDescent="0.2">
      <c r="A391" s="67" t="str">
        <f>IF(D390&gt;0.005,"April","")</f>
        <v/>
      </c>
      <c r="B391" s="86">
        <f t="shared" si="72"/>
        <v>0</v>
      </c>
      <c r="C391" s="86">
        <f t="shared" si="73"/>
        <v>0</v>
      </c>
      <c r="D391" s="86">
        <f t="shared" si="74"/>
        <v>0</v>
      </c>
      <c r="E391" s="67"/>
    </row>
    <row r="392" spans="1:5" x14ac:dyDescent="0.2">
      <c r="A392" s="67" t="str">
        <f>IF(D391&gt;0.005,"May","")</f>
        <v/>
      </c>
      <c r="B392" s="86">
        <f t="shared" si="72"/>
        <v>0</v>
      </c>
      <c r="C392" s="86">
        <f t="shared" si="73"/>
        <v>0</v>
      </c>
      <c r="D392" s="86">
        <f t="shared" si="74"/>
        <v>0</v>
      </c>
      <c r="E392" s="67"/>
    </row>
    <row r="393" spans="1:5" x14ac:dyDescent="0.2">
      <c r="A393" s="67" t="str">
        <f>IF(D392&gt;0.005,"June","")</f>
        <v/>
      </c>
      <c r="B393" s="86">
        <f t="shared" si="72"/>
        <v>0</v>
      </c>
      <c r="C393" s="86">
        <f t="shared" si="73"/>
        <v>0</v>
      </c>
      <c r="D393" s="86">
        <f t="shared" si="74"/>
        <v>0</v>
      </c>
      <c r="E393" s="67"/>
    </row>
    <row r="394" spans="1:5" x14ac:dyDescent="0.2">
      <c r="A394" s="67" t="str">
        <f>IF(D393&gt;0.005,"July","")</f>
        <v/>
      </c>
      <c r="B394" s="86">
        <f t="shared" si="72"/>
        <v>0</v>
      </c>
      <c r="C394" s="86">
        <f t="shared" si="73"/>
        <v>0</v>
      </c>
      <c r="D394" s="86">
        <f t="shared" si="74"/>
        <v>0</v>
      </c>
      <c r="E394" s="67"/>
    </row>
    <row r="395" spans="1:5" x14ac:dyDescent="0.2">
      <c r="A395" s="67" t="str">
        <f>IF(D394&gt;0.005,"August","")</f>
        <v/>
      </c>
      <c r="B395" s="86">
        <f t="shared" si="72"/>
        <v>0</v>
      </c>
      <c r="C395" s="86">
        <f t="shared" si="73"/>
        <v>0</v>
      </c>
      <c r="D395" s="86">
        <f t="shared" si="74"/>
        <v>0</v>
      </c>
      <c r="E395" s="67"/>
    </row>
    <row r="396" spans="1:5" x14ac:dyDescent="0.2">
      <c r="A396" s="67" t="str">
        <f>IF(D395&gt;0.005,"September","")</f>
        <v/>
      </c>
      <c r="B396" s="86">
        <f t="shared" si="72"/>
        <v>0</v>
      </c>
      <c r="C396" s="86">
        <f t="shared" si="73"/>
        <v>0</v>
      </c>
      <c r="D396" s="86">
        <f t="shared" si="74"/>
        <v>0</v>
      </c>
      <c r="E396" s="67"/>
    </row>
    <row r="397" spans="1:5" x14ac:dyDescent="0.2">
      <c r="A397" s="67" t="str">
        <f>IF(D396&gt;0.005,"October","")</f>
        <v/>
      </c>
      <c r="B397" s="86">
        <f t="shared" si="72"/>
        <v>0</v>
      </c>
      <c r="C397" s="86">
        <f t="shared" si="73"/>
        <v>0</v>
      </c>
      <c r="D397" s="86">
        <f t="shared" si="74"/>
        <v>0</v>
      </c>
      <c r="E397" s="67"/>
    </row>
    <row r="398" spans="1:5" x14ac:dyDescent="0.2">
      <c r="A398" s="67" t="str">
        <f>IF(D397&gt;0.005,"November","")</f>
        <v/>
      </c>
      <c r="B398" s="86">
        <f t="shared" si="72"/>
        <v>0</v>
      </c>
      <c r="C398" s="86">
        <f t="shared" si="73"/>
        <v>0</v>
      </c>
      <c r="D398" s="86">
        <f t="shared" si="74"/>
        <v>0</v>
      </c>
      <c r="E398" s="67"/>
    </row>
    <row r="399" spans="1:5" x14ac:dyDescent="0.2">
      <c r="A399" s="67" t="str">
        <f>IF(D398&gt;0.005,"December","")</f>
        <v/>
      </c>
      <c r="B399" s="86">
        <f t="shared" si="72"/>
        <v>0</v>
      </c>
      <c r="C399" s="86">
        <f t="shared" si="73"/>
        <v>0</v>
      </c>
      <c r="D399" s="86">
        <f t="shared" si="74"/>
        <v>0</v>
      </c>
      <c r="E399" s="67"/>
    </row>
    <row r="400" spans="1:5" x14ac:dyDescent="0.2">
      <c r="A400" s="87" t="str">
        <f>"Total "&amp;YEAR($A$10)+25</f>
        <v>Total 2028</v>
      </c>
      <c r="B400" s="88">
        <f>SUM(B388:B399)</f>
        <v>0</v>
      </c>
      <c r="C400" s="88">
        <f>SUM(C388:C399)</f>
        <v>0</v>
      </c>
      <c r="D400" s="89"/>
      <c r="E400" s="67"/>
    </row>
    <row r="401" spans="1:5" x14ac:dyDescent="0.2">
      <c r="A401" s="69"/>
      <c r="B401" s="90"/>
      <c r="C401" s="90"/>
      <c r="D401" s="86"/>
      <c r="E401" s="67"/>
    </row>
    <row r="402" spans="1:5" x14ac:dyDescent="0.2">
      <c r="A402" s="67"/>
      <c r="B402" s="84" t="s">
        <v>69</v>
      </c>
      <c r="C402" s="84" t="s">
        <v>70</v>
      </c>
      <c r="D402" s="84" t="s">
        <v>71</v>
      </c>
      <c r="E402" s="67"/>
    </row>
    <row r="403" spans="1:5" x14ac:dyDescent="0.2">
      <c r="A403" s="67" t="str">
        <f>IF(D399&gt;0.005,"January","")</f>
        <v/>
      </c>
      <c r="B403" s="86">
        <f>IF(D399&gt;0,ROUND(D399*($D$5/1200),2),0)</f>
        <v>0</v>
      </c>
      <c r="C403" s="86">
        <f>IF(D399&lt;$B$7,D399,$B$7-B403)</f>
        <v>0</v>
      </c>
      <c r="D403" s="86">
        <f>IF(D399-C403&gt;0,D399-C403,0)</f>
        <v>0</v>
      </c>
      <c r="E403" s="67"/>
    </row>
    <row r="404" spans="1:5" x14ac:dyDescent="0.2">
      <c r="A404" s="67" t="str">
        <f>IF(D403&gt;0.005,"February","")</f>
        <v/>
      </c>
      <c r="B404" s="86">
        <f t="shared" ref="B404:B414" si="75">IF(D403&gt;0,ROUND(D403*($D$5/1200),2),0)</f>
        <v>0</v>
      </c>
      <c r="C404" s="86">
        <f t="shared" ref="C404:C414" si="76">IF(D403&lt;$B$7,D403,$B$7-B404)</f>
        <v>0</v>
      </c>
      <c r="D404" s="86">
        <f t="shared" ref="D404:D414" si="77">IF(D403-C404&gt;0,D403-C404,0)</f>
        <v>0</v>
      </c>
      <c r="E404" s="67"/>
    </row>
    <row r="405" spans="1:5" x14ac:dyDescent="0.2">
      <c r="A405" s="67" t="str">
        <f>IF(D404&gt;0.005,"March","")</f>
        <v/>
      </c>
      <c r="B405" s="86">
        <f t="shared" si="75"/>
        <v>0</v>
      </c>
      <c r="C405" s="86">
        <f t="shared" si="76"/>
        <v>0</v>
      </c>
      <c r="D405" s="86">
        <f t="shared" si="77"/>
        <v>0</v>
      </c>
      <c r="E405" s="67"/>
    </row>
    <row r="406" spans="1:5" x14ac:dyDescent="0.2">
      <c r="A406" s="67" t="str">
        <f>IF(D405&gt;0.005,"April","")</f>
        <v/>
      </c>
      <c r="B406" s="86">
        <f t="shared" si="75"/>
        <v>0</v>
      </c>
      <c r="C406" s="86">
        <f t="shared" si="76"/>
        <v>0</v>
      </c>
      <c r="D406" s="86">
        <f t="shared" si="77"/>
        <v>0</v>
      </c>
      <c r="E406" s="67"/>
    </row>
    <row r="407" spans="1:5" x14ac:dyDescent="0.2">
      <c r="A407" s="67" t="str">
        <f>IF(D406&gt;0.005,"May","")</f>
        <v/>
      </c>
      <c r="B407" s="86">
        <f t="shared" si="75"/>
        <v>0</v>
      </c>
      <c r="C407" s="86">
        <f t="shared" si="76"/>
        <v>0</v>
      </c>
      <c r="D407" s="86">
        <f t="shared" si="77"/>
        <v>0</v>
      </c>
      <c r="E407" s="67"/>
    </row>
    <row r="408" spans="1:5" x14ac:dyDescent="0.2">
      <c r="A408" s="67" t="str">
        <f>IF(D407&gt;0.005,"June","")</f>
        <v/>
      </c>
      <c r="B408" s="86">
        <f t="shared" si="75"/>
        <v>0</v>
      </c>
      <c r="C408" s="86">
        <f t="shared" si="76"/>
        <v>0</v>
      </c>
      <c r="D408" s="86">
        <f t="shared" si="77"/>
        <v>0</v>
      </c>
      <c r="E408" s="67"/>
    </row>
    <row r="409" spans="1:5" x14ac:dyDescent="0.2">
      <c r="A409" s="67" t="str">
        <f>IF(D408&gt;0.005,"July","")</f>
        <v/>
      </c>
      <c r="B409" s="86">
        <f t="shared" si="75"/>
        <v>0</v>
      </c>
      <c r="C409" s="86">
        <f t="shared" si="76"/>
        <v>0</v>
      </c>
      <c r="D409" s="86">
        <f t="shared" si="77"/>
        <v>0</v>
      </c>
      <c r="E409" s="67"/>
    </row>
    <row r="410" spans="1:5" x14ac:dyDescent="0.2">
      <c r="A410" s="67" t="str">
        <f>IF(D409&gt;0.005,"August","")</f>
        <v/>
      </c>
      <c r="B410" s="86">
        <f t="shared" si="75"/>
        <v>0</v>
      </c>
      <c r="C410" s="86">
        <f t="shared" si="76"/>
        <v>0</v>
      </c>
      <c r="D410" s="86">
        <f t="shared" si="77"/>
        <v>0</v>
      </c>
      <c r="E410" s="67"/>
    </row>
    <row r="411" spans="1:5" x14ac:dyDescent="0.2">
      <c r="A411" s="67" t="str">
        <f>IF(D410&gt;0.005,"September","")</f>
        <v/>
      </c>
      <c r="B411" s="86">
        <f t="shared" si="75"/>
        <v>0</v>
      </c>
      <c r="C411" s="86">
        <f t="shared" si="76"/>
        <v>0</v>
      </c>
      <c r="D411" s="86">
        <f t="shared" si="77"/>
        <v>0</v>
      </c>
      <c r="E411" s="67"/>
    </row>
    <row r="412" spans="1:5" x14ac:dyDescent="0.2">
      <c r="A412" s="67" t="str">
        <f>IF(D411&gt;0.005,"October","")</f>
        <v/>
      </c>
      <c r="B412" s="86">
        <f t="shared" si="75"/>
        <v>0</v>
      </c>
      <c r="C412" s="86">
        <f t="shared" si="76"/>
        <v>0</v>
      </c>
      <c r="D412" s="86">
        <f t="shared" si="77"/>
        <v>0</v>
      </c>
      <c r="E412" s="67"/>
    </row>
    <row r="413" spans="1:5" x14ac:dyDescent="0.2">
      <c r="A413" s="67" t="str">
        <f>IF(D412&gt;0.005,"November","")</f>
        <v/>
      </c>
      <c r="B413" s="86">
        <f t="shared" si="75"/>
        <v>0</v>
      </c>
      <c r="C413" s="86">
        <f t="shared" si="76"/>
        <v>0</v>
      </c>
      <c r="D413" s="86">
        <f t="shared" si="77"/>
        <v>0</v>
      </c>
      <c r="E413" s="67"/>
    </row>
    <row r="414" spans="1:5" x14ac:dyDescent="0.2">
      <c r="A414" s="67" t="str">
        <f>IF(D413&gt;0.005,"December","")</f>
        <v/>
      </c>
      <c r="B414" s="86">
        <f t="shared" si="75"/>
        <v>0</v>
      </c>
      <c r="C414" s="86">
        <f t="shared" si="76"/>
        <v>0</v>
      </c>
      <c r="D414" s="86">
        <f t="shared" si="77"/>
        <v>0</v>
      </c>
      <c r="E414" s="67"/>
    </row>
    <row r="415" spans="1:5" x14ac:dyDescent="0.2">
      <c r="A415" s="87" t="str">
        <f>"Total "&amp;YEAR($A$10)+26</f>
        <v>Total 2029</v>
      </c>
      <c r="B415" s="88">
        <f>SUM(B403:B414)</f>
        <v>0</v>
      </c>
      <c r="C415" s="88">
        <f>SUM(C403:C414)</f>
        <v>0</v>
      </c>
      <c r="D415" s="89"/>
      <c r="E415" s="67"/>
    </row>
    <row r="416" spans="1:5" x14ac:dyDescent="0.2">
      <c r="A416" s="67"/>
      <c r="B416" s="86"/>
      <c r="C416" s="86"/>
      <c r="D416" s="86"/>
      <c r="E416" s="67"/>
    </row>
    <row r="417" spans="1:5" x14ac:dyDescent="0.2">
      <c r="A417" s="67"/>
      <c r="B417" s="84" t="s">
        <v>69</v>
      </c>
      <c r="C417" s="84" t="s">
        <v>70</v>
      </c>
      <c r="D417" s="84" t="s">
        <v>71</v>
      </c>
      <c r="E417" s="67"/>
    </row>
    <row r="418" spans="1:5" x14ac:dyDescent="0.2">
      <c r="A418" s="67" t="str">
        <f>IF(D414&gt;0.005,"January","")</f>
        <v/>
      </c>
      <c r="B418" s="86">
        <f>IF(D414&gt;0,ROUND(D414*($D$5/1200),2),0)</f>
        <v>0</v>
      </c>
      <c r="C418" s="86">
        <f>IF(D414&lt;$B$7,D414,$B$7-B418)</f>
        <v>0</v>
      </c>
      <c r="D418" s="86">
        <f>IF(D414-C418&gt;0,D414-C418,0)</f>
        <v>0</v>
      </c>
      <c r="E418" s="67"/>
    </row>
    <row r="419" spans="1:5" x14ac:dyDescent="0.2">
      <c r="A419" s="67" t="str">
        <f>IF(D418&gt;0.005,"February","")</f>
        <v/>
      </c>
      <c r="B419" s="86">
        <f t="shared" ref="B419:B429" si="78">IF(D418&gt;0,ROUND(D418*($D$5/1200),2),0)</f>
        <v>0</v>
      </c>
      <c r="C419" s="86">
        <f t="shared" ref="C419:C429" si="79">IF(D418&lt;$B$7,D418,$B$7-B419)</f>
        <v>0</v>
      </c>
      <c r="D419" s="86">
        <f t="shared" ref="D419:D429" si="80">IF(D418-C419&gt;0,D418-C419,0)</f>
        <v>0</v>
      </c>
      <c r="E419" s="67"/>
    </row>
    <row r="420" spans="1:5" x14ac:dyDescent="0.2">
      <c r="A420" s="67" t="str">
        <f>IF(D419&gt;0.005,"March","")</f>
        <v/>
      </c>
      <c r="B420" s="86">
        <f t="shared" si="78"/>
        <v>0</v>
      </c>
      <c r="C420" s="86">
        <f t="shared" si="79"/>
        <v>0</v>
      </c>
      <c r="D420" s="86">
        <f t="shared" si="80"/>
        <v>0</v>
      </c>
      <c r="E420" s="67"/>
    </row>
    <row r="421" spans="1:5" x14ac:dyDescent="0.2">
      <c r="A421" s="67" t="str">
        <f>IF(D420&gt;0.005,"April","")</f>
        <v/>
      </c>
      <c r="B421" s="86">
        <f t="shared" si="78"/>
        <v>0</v>
      </c>
      <c r="C421" s="86">
        <f t="shared" si="79"/>
        <v>0</v>
      </c>
      <c r="D421" s="86">
        <f t="shared" si="80"/>
        <v>0</v>
      </c>
      <c r="E421" s="67"/>
    </row>
    <row r="422" spans="1:5" x14ac:dyDescent="0.2">
      <c r="A422" s="67" t="str">
        <f>IF(D421&gt;0.005,"May","")</f>
        <v/>
      </c>
      <c r="B422" s="86">
        <f t="shared" si="78"/>
        <v>0</v>
      </c>
      <c r="C422" s="86">
        <f t="shared" si="79"/>
        <v>0</v>
      </c>
      <c r="D422" s="86">
        <f t="shared" si="80"/>
        <v>0</v>
      </c>
      <c r="E422" s="67"/>
    </row>
    <row r="423" spans="1:5" x14ac:dyDescent="0.2">
      <c r="A423" s="67" t="str">
        <f>IF(D422&gt;0.005,"June","")</f>
        <v/>
      </c>
      <c r="B423" s="86">
        <f t="shared" si="78"/>
        <v>0</v>
      </c>
      <c r="C423" s="86">
        <f t="shared" si="79"/>
        <v>0</v>
      </c>
      <c r="D423" s="86">
        <f t="shared" si="80"/>
        <v>0</v>
      </c>
      <c r="E423" s="67"/>
    </row>
    <row r="424" spans="1:5" x14ac:dyDescent="0.2">
      <c r="A424" s="67" t="str">
        <f>IF(D423&gt;0.005,"July","")</f>
        <v/>
      </c>
      <c r="B424" s="86">
        <f t="shared" si="78"/>
        <v>0</v>
      </c>
      <c r="C424" s="86">
        <f t="shared" si="79"/>
        <v>0</v>
      </c>
      <c r="D424" s="86">
        <f t="shared" si="80"/>
        <v>0</v>
      </c>
      <c r="E424" s="67"/>
    </row>
    <row r="425" spans="1:5" x14ac:dyDescent="0.2">
      <c r="A425" s="67" t="str">
        <f>IF(D424&gt;0.005,"August","")</f>
        <v/>
      </c>
      <c r="B425" s="86">
        <f t="shared" si="78"/>
        <v>0</v>
      </c>
      <c r="C425" s="86">
        <f t="shared" si="79"/>
        <v>0</v>
      </c>
      <c r="D425" s="86">
        <f t="shared" si="80"/>
        <v>0</v>
      </c>
      <c r="E425" s="67"/>
    </row>
    <row r="426" spans="1:5" x14ac:dyDescent="0.2">
      <c r="A426" s="67" t="str">
        <f>IF(D425&gt;0.005,"September","")</f>
        <v/>
      </c>
      <c r="B426" s="86">
        <f t="shared" si="78"/>
        <v>0</v>
      </c>
      <c r="C426" s="86">
        <f t="shared" si="79"/>
        <v>0</v>
      </c>
      <c r="D426" s="86">
        <f t="shared" si="80"/>
        <v>0</v>
      </c>
      <c r="E426" s="67"/>
    </row>
    <row r="427" spans="1:5" x14ac:dyDescent="0.2">
      <c r="A427" s="67" t="str">
        <f>IF(D426&gt;0.005,"October","")</f>
        <v/>
      </c>
      <c r="B427" s="86">
        <f t="shared" si="78"/>
        <v>0</v>
      </c>
      <c r="C427" s="86">
        <f t="shared" si="79"/>
        <v>0</v>
      </c>
      <c r="D427" s="86">
        <f t="shared" si="80"/>
        <v>0</v>
      </c>
      <c r="E427" s="67"/>
    </row>
    <row r="428" spans="1:5" x14ac:dyDescent="0.2">
      <c r="A428" s="67" t="str">
        <f>IF(D427&gt;0.005,"November","")</f>
        <v/>
      </c>
      <c r="B428" s="86">
        <f t="shared" si="78"/>
        <v>0</v>
      </c>
      <c r="C428" s="86">
        <f t="shared" si="79"/>
        <v>0</v>
      </c>
      <c r="D428" s="86">
        <f t="shared" si="80"/>
        <v>0</v>
      </c>
      <c r="E428" s="67"/>
    </row>
    <row r="429" spans="1:5" x14ac:dyDescent="0.2">
      <c r="A429" s="67" t="str">
        <f>IF(D428&gt;0.005,"December","")</f>
        <v/>
      </c>
      <c r="B429" s="86">
        <f t="shared" si="78"/>
        <v>0</v>
      </c>
      <c r="C429" s="86">
        <f t="shared" si="79"/>
        <v>0</v>
      </c>
      <c r="D429" s="86">
        <f t="shared" si="80"/>
        <v>0</v>
      </c>
      <c r="E429" s="67"/>
    </row>
    <row r="430" spans="1:5" x14ac:dyDescent="0.2">
      <c r="A430" s="87" t="str">
        <f>"Total "&amp;YEAR($A$10)+27</f>
        <v>Total 2030</v>
      </c>
      <c r="B430" s="88">
        <f>SUM(B418:B429)</f>
        <v>0</v>
      </c>
      <c r="C430" s="88">
        <f>SUM(C418:C429)</f>
        <v>0</v>
      </c>
      <c r="D430" s="89"/>
      <c r="E430" s="67"/>
    </row>
    <row r="431" spans="1:5" x14ac:dyDescent="0.2">
      <c r="A431" s="67"/>
      <c r="B431" s="86"/>
      <c r="C431" s="86"/>
      <c r="D431" s="86"/>
      <c r="E431" s="67"/>
    </row>
    <row r="432" spans="1:5" x14ac:dyDescent="0.2">
      <c r="A432" s="67"/>
      <c r="B432" s="84" t="s">
        <v>69</v>
      </c>
      <c r="C432" s="84" t="s">
        <v>70</v>
      </c>
      <c r="D432" s="84" t="s">
        <v>71</v>
      </c>
      <c r="E432" s="67"/>
    </row>
    <row r="433" spans="1:5" x14ac:dyDescent="0.2">
      <c r="A433" s="67" t="str">
        <f>IF(D429&gt;0.005,"January","")</f>
        <v/>
      </c>
      <c r="B433" s="86">
        <f>IF(D429&gt;0,ROUND(D429*($D$5/1200),2),0)</f>
        <v>0</v>
      </c>
      <c r="C433" s="86">
        <f>IF(D429&lt;$B$7,D429,$B$7-B433)</f>
        <v>0</v>
      </c>
      <c r="D433" s="86">
        <f>IF(D429-C433&gt;0,D429-C433,0)</f>
        <v>0</v>
      </c>
      <c r="E433" s="67"/>
    </row>
    <row r="434" spans="1:5" x14ac:dyDescent="0.2">
      <c r="A434" s="67" t="str">
        <f>IF(D433&gt;0.005,"February","")</f>
        <v/>
      </c>
      <c r="B434" s="86">
        <f t="shared" ref="B434:B444" si="81">IF(D433&gt;0,ROUND(D433*($D$5/1200),2),0)</f>
        <v>0</v>
      </c>
      <c r="C434" s="86">
        <f t="shared" ref="C434:C444" si="82">IF(D433&lt;$B$7,D433,$B$7-B434)</f>
        <v>0</v>
      </c>
      <c r="D434" s="86">
        <f t="shared" ref="D434:D444" si="83">IF(D433-C434&gt;0,D433-C434,0)</f>
        <v>0</v>
      </c>
      <c r="E434" s="67"/>
    </row>
    <row r="435" spans="1:5" x14ac:dyDescent="0.2">
      <c r="A435" s="67" t="str">
        <f>IF(D434&gt;0.005,"March","")</f>
        <v/>
      </c>
      <c r="B435" s="86">
        <f t="shared" si="81"/>
        <v>0</v>
      </c>
      <c r="C435" s="86">
        <f t="shared" si="82"/>
        <v>0</v>
      </c>
      <c r="D435" s="86">
        <f t="shared" si="83"/>
        <v>0</v>
      </c>
      <c r="E435" s="67"/>
    </row>
    <row r="436" spans="1:5" x14ac:dyDescent="0.2">
      <c r="A436" s="67" t="str">
        <f>IF(D435&gt;0.005,"April","")</f>
        <v/>
      </c>
      <c r="B436" s="86">
        <f t="shared" si="81"/>
        <v>0</v>
      </c>
      <c r="C436" s="86">
        <f t="shared" si="82"/>
        <v>0</v>
      </c>
      <c r="D436" s="86">
        <f t="shared" si="83"/>
        <v>0</v>
      </c>
      <c r="E436" s="67"/>
    </row>
    <row r="437" spans="1:5" x14ac:dyDescent="0.2">
      <c r="A437" s="67" t="str">
        <f>IF(D436&gt;0.005,"May","")</f>
        <v/>
      </c>
      <c r="B437" s="86">
        <f t="shared" si="81"/>
        <v>0</v>
      </c>
      <c r="C437" s="86">
        <f t="shared" si="82"/>
        <v>0</v>
      </c>
      <c r="D437" s="86">
        <f t="shared" si="83"/>
        <v>0</v>
      </c>
      <c r="E437" s="67"/>
    </row>
    <row r="438" spans="1:5" x14ac:dyDescent="0.2">
      <c r="A438" s="67" t="str">
        <f>IF(D437&gt;0.005,"June","")</f>
        <v/>
      </c>
      <c r="B438" s="86">
        <f t="shared" si="81"/>
        <v>0</v>
      </c>
      <c r="C438" s="86">
        <f t="shared" si="82"/>
        <v>0</v>
      </c>
      <c r="D438" s="86">
        <f t="shared" si="83"/>
        <v>0</v>
      </c>
      <c r="E438" s="67"/>
    </row>
    <row r="439" spans="1:5" x14ac:dyDescent="0.2">
      <c r="A439" s="67" t="str">
        <f>IF(D438&gt;0.005,"July","")</f>
        <v/>
      </c>
      <c r="B439" s="86">
        <f t="shared" si="81"/>
        <v>0</v>
      </c>
      <c r="C439" s="86">
        <f t="shared" si="82"/>
        <v>0</v>
      </c>
      <c r="D439" s="86">
        <f t="shared" si="83"/>
        <v>0</v>
      </c>
      <c r="E439" s="67"/>
    </row>
    <row r="440" spans="1:5" x14ac:dyDescent="0.2">
      <c r="A440" s="67" t="str">
        <f>IF(D439&gt;0.005,"August","")</f>
        <v/>
      </c>
      <c r="B440" s="86">
        <f t="shared" si="81"/>
        <v>0</v>
      </c>
      <c r="C440" s="86">
        <f t="shared" si="82"/>
        <v>0</v>
      </c>
      <c r="D440" s="86">
        <f t="shared" si="83"/>
        <v>0</v>
      </c>
      <c r="E440" s="67"/>
    </row>
    <row r="441" spans="1:5" x14ac:dyDescent="0.2">
      <c r="A441" s="67" t="str">
        <f>IF(D440&gt;0.005,"September","")</f>
        <v/>
      </c>
      <c r="B441" s="86">
        <f t="shared" si="81"/>
        <v>0</v>
      </c>
      <c r="C441" s="86">
        <f t="shared" si="82"/>
        <v>0</v>
      </c>
      <c r="D441" s="86">
        <f t="shared" si="83"/>
        <v>0</v>
      </c>
      <c r="E441" s="67"/>
    </row>
    <row r="442" spans="1:5" x14ac:dyDescent="0.2">
      <c r="A442" s="67" t="str">
        <f>IF(D441&gt;0.005,"October","")</f>
        <v/>
      </c>
      <c r="B442" s="86">
        <f t="shared" si="81"/>
        <v>0</v>
      </c>
      <c r="C442" s="86">
        <f t="shared" si="82"/>
        <v>0</v>
      </c>
      <c r="D442" s="86">
        <f t="shared" si="83"/>
        <v>0</v>
      </c>
      <c r="E442" s="67"/>
    </row>
    <row r="443" spans="1:5" x14ac:dyDescent="0.2">
      <c r="A443" s="67" t="str">
        <f>IF(D442&gt;0.005,"November","")</f>
        <v/>
      </c>
      <c r="B443" s="86">
        <f t="shared" si="81"/>
        <v>0</v>
      </c>
      <c r="C443" s="86">
        <f t="shared" si="82"/>
        <v>0</v>
      </c>
      <c r="D443" s="86">
        <f t="shared" si="83"/>
        <v>0</v>
      </c>
      <c r="E443" s="67"/>
    </row>
    <row r="444" spans="1:5" x14ac:dyDescent="0.2">
      <c r="A444" s="67" t="str">
        <f>IF(D443&gt;0.005,"December","")</f>
        <v/>
      </c>
      <c r="B444" s="86">
        <f t="shared" si="81"/>
        <v>0</v>
      </c>
      <c r="C444" s="86">
        <f t="shared" si="82"/>
        <v>0</v>
      </c>
      <c r="D444" s="86">
        <f t="shared" si="83"/>
        <v>0</v>
      </c>
      <c r="E444" s="67"/>
    </row>
    <row r="445" spans="1:5" x14ac:dyDescent="0.2">
      <c r="A445" s="87" t="str">
        <f>"Total "&amp;YEAR($A$10)+28</f>
        <v>Total 2031</v>
      </c>
      <c r="B445" s="88">
        <f>SUM(B433:B444)</f>
        <v>0</v>
      </c>
      <c r="C445" s="88">
        <f>SUM(C433:C444)</f>
        <v>0</v>
      </c>
      <c r="D445" s="89"/>
      <c r="E445" s="67"/>
    </row>
    <row r="446" spans="1:5" x14ac:dyDescent="0.2">
      <c r="A446" s="69"/>
      <c r="B446" s="90"/>
      <c r="C446" s="90"/>
      <c r="D446" s="86"/>
      <c r="E446" s="67"/>
    </row>
    <row r="447" spans="1:5" x14ac:dyDescent="0.2">
      <c r="A447" s="67"/>
      <c r="B447" s="84" t="s">
        <v>69</v>
      </c>
      <c r="C447" s="84" t="s">
        <v>70</v>
      </c>
      <c r="D447" s="84" t="s">
        <v>71</v>
      </c>
      <c r="E447" s="67"/>
    </row>
    <row r="448" spans="1:5" x14ac:dyDescent="0.2">
      <c r="A448" s="67" t="str">
        <f>IF(D444&gt;0.005,"January","")</f>
        <v/>
      </c>
      <c r="B448" s="86">
        <f>IF(D444&gt;0,ROUND(D444*($D$5/1200),2),0)</f>
        <v>0</v>
      </c>
      <c r="C448" s="86">
        <f>IF(D444&lt;$B$7,D444,$B$7-B448)</f>
        <v>0</v>
      </c>
      <c r="D448" s="86">
        <f>IF(D444-C448&gt;0,D444-C448,0)</f>
        <v>0</v>
      </c>
      <c r="E448" s="67"/>
    </row>
    <row r="449" spans="1:5" x14ac:dyDescent="0.2">
      <c r="A449" s="67" t="str">
        <f>IF(D448&gt;0.005,"February","")</f>
        <v/>
      </c>
      <c r="B449" s="86">
        <f t="shared" ref="B449:B459" si="84">IF(D448&gt;0,ROUND(D448*($D$5/1200),2),0)</f>
        <v>0</v>
      </c>
      <c r="C449" s="86">
        <f t="shared" ref="C449:C459" si="85">IF(D448&lt;$B$7,D448,$B$7-B449)</f>
        <v>0</v>
      </c>
      <c r="D449" s="86">
        <f t="shared" ref="D449:D459" si="86">IF(D448-C449&gt;0,D448-C449,0)</f>
        <v>0</v>
      </c>
      <c r="E449" s="67"/>
    </row>
    <row r="450" spans="1:5" x14ac:dyDescent="0.2">
      <c r="A450" s="67" t="str">
        <f>IF(D449&gt;0.005,"March","")</f>
        <v/>
      </c>
      <c r="B450" s="86">
        <f t="shared" si="84"/>
        <v>0</v>
      </c>
      <c r="C450" s="86">
        <f t="shared" si="85"/>
        <v>0</v>
      </c>
      <c r="D450" s="86">
        <f t="shared" si="86"/>
        <v>0</v>
      </c>
      <c r="E450" s="67"/>
    </row>
    <row r="451" spans="1:5" x14ac:dyDescent="0.2">
      <c r="A451" s="67" t="str">
        <f>IF(D450&gt;0.005,"April","")</f>
        <v/>
      </c>
      <c r="B451" s="86">
        <f t="shared" si="84"/>
        <v>0</v>
      </c>
      <c r="C451" s="86">
        <f t="shared" si="85"/>
        <v>0</v>
      </c>
      <c r="D451" s="86">
        <f t="shared" si="86"/>
        <v>0</v>
      </c>
      <c r="E451" s="67"/>
    </row>
    <row r="452" spans="1:5" x14ac:dyDescent="0.2">
      <c r="A452" s="67" t="str">
        <f>IF(D451&gt;0.005,"May","")</f>
        <v/>
      </c>
      <c r="B452" s="86">
        <f t="shared" si="84"/>
        <v>0</v>
      </c>
      <c r="C452" s="86">
        <f t="shared" si="85"/>
        <v>0</v>
      </c>
      <c r="D452" s="86">
        <f t="shared" si="86"/>
        <v>0</v>
      </c>
      <c r="E452" s="67"/>
    </row>
    <row r="453" spans="1:5" x14ac:dyDescent="0.2">
      <c r="A453" s="67" t="str">
        <f>IF(D452&gt;0.005,"June","")</f>
        <v/>
      </c>
      <c r="B453" s="86">
        <f t="shared" si="84"/>
        <v>0</v>
      </c>
      <c r="C453" s="86">
        <f t="shared" si="85"/>
        <v>0</v>
      </c>
      <c r="D453" s="86">
        <f t="shared" si="86"/>
        <v>0</v>
      </c>
      <c r="E453" s="67"/>
    </row>
    <row r="454" spans="1:5" x14ac:dyDescent="0.2">
      <c r="A454" s="67" t="str">
        <f>IF(D453&gt;0.005,"July","")</f>
        <v/>
      </c>
      <c r="B454" s="86">
        <f t="shared" si="84"/>
        <v>0</v>
      </c>
      <c r="C454" s="86">
        <f t="shared" si="85"/>
        <v>0</v>
      </c>
      <c r="D454" s="86">
        <f t="shared" si="86"/>
        <v>0</v>
      </c>
      <c r="E454" s="67"/>
    </row>
    <row r="455" spans="1:5" x14ac:dyDescent="0.2">
      <c r="A455" s="67" t="str">
        <f>IF(D454&gt;0.005,"August","")</f>
        <v/>
      </c>
      <c r="B455" s="86">
        <f t="shared" si="84"/>
        <v>0</v>
      </c>
      <c r="C455" s="86">
        <f t="shared" si="85"/>
        <v>0</v>
      </c>
      <c r="D455" s="86">
        <f t="shared" si="86"/>
        <v>0</v>
      </c>
      <c r="E455" s="67"/>
    </row>
    <row r="456" spans="1:5" x14ac:dyDescent="0.2">
      <c r="A456" s="67" t="str">
        <f>IF(D455&gt;0.005,"September","")</f>
        <v/>
      </c>
      <c r="B456" s="86">
        <f t="shared" si="84"/>
        <v>0</v>
      </c>
      <c r="C456" s="86">
        <f t="shared" si="85"/>
        <v>0</v>
      </c>
      <c r="D456" s="86">
        <f t="shared" si="86"/>
        <v>0</v>
      </c>
      <c r="E456" s="67"/>
    </row>
    <row r="457" spans="1:5" x14ac:dyDescent="0.2">
      <c r="A457" s="67" t="str">
        <f>IF(D456&gt;0.005,"October","")</f>
        <v/>
      </c>
      <c r="B457" s="86">
        <f t="shared" si="84"/>
        <v>0</v>
      </c>
      <c r="C457" s="86">
        <f t="shared" si="85"/>
        <v>0</v>
      </c>
      <c r="D457" s="86">
        <f t="shared" si="86"/>
        <v>0</v>
      </c>
      <c r="E457" s="67"/>
    </row>
    <row r="458" spans="1:5" x14ac:dyDescent="0.2">
      <c r="A458" s="67" t="str">
        <f>IF(D457&gt;0.005,"November","")</f>
        <v/>
      </c>
      <c r="B458" s="86">
        <f t="shared" si="84"/>
        <v>0</v>
      </c>
      <c r="C458" s="86">
        <f t="shared" si="85"/>
        <v>0</v>
      </c>
      <c r="D458" s="86">
        <f t="shared" si="86"/>
        <v>0</v>
      </c>
      <c r="E458" s="67"/>
    </row>
    <row r="459" spans="1:5" x14ac:dyDescent="0.2">
      <c r="A459" s="67" t="str">
        <f>IF(D458&gt;0.005,"December","")</f>
        <v/>
      </c>
      <c r="B459" s="86">
        <f t="shared" si="84"/>
        <v>0</v>
      </c>
      <c r="C459" s="86">
        <f t="shared" si="85"/>
        <v>0</v>
      </c>
      <c r="D459" s="86">
        <f t="shared" si="86"/>
        <v>0</v>
      </c>
      <c r="E459" s="67"/>
    </row>
    <row r="460" spans="1:5" x14ac:dyDescent="0.2">
      <c r="A460" s="87" t="str">
        <f>"Total "&amp;YEAR($A$10)+29</f>
        <v>Total 2032</v>
      </c>
      <c r="B460" s="88">
        <f>SUM(B448:B459)</f>
        <v>0</v>
      </c>
      <c r="C460" s="88">
        <f>SUM(C448:C459)</f>
        <v>0</v>
      </c>
      <c r="D460" s="89"/>
      <c r="E460" s="67"/>
    </row>
    <row r="461" spans="1:5" x14ac:dyDescent="0.2">
      <c r="A461" s="67"/>
      <c r="B461" s="86"/>
      <c r="C461" s="86"/>
      <c r="D461" s="86"/>
      <c r="E461" s="67"/>
    </row>
    <row r="462" spans="1:5" x14ac:dyDescent="0.2">
      <c r="A462" s="67"/>
      <c r="B462" s="84" t="s">
        <v>69</v>
      </c>
      <c r="C462" s="84" t="s">
        <v>70</v>
      </c>
      <c r="D462" s="84" t="s">
        <v>71</v>
      </c>
      <c r="E462" s="67"/>
    </row>
    <row r="463" spans="1:5" x14ac:dyDescent="0.2">
      <c r="A463" s="67"/>
      <c r="B463" s="86">
        <f>IF(D459&gt;0,ROUND(D459*($D$5/1200),2),0)</f>
        <v>0</v>
      </c>
      <c r="C463" s="86">
        <f>IF(D459&lt;$B$7,D459,$B$7-B463)</f>
        <v>0</v>
      </c>
      <c r="D463" s="86">
        <f>IF(D459-C463&gt;0,D459-C463,0)</f>
        <v>0</v>
      </c>
      <c r="E463" s="67"/>
    </row>
    <row r="464" spans="1:5" x14ac:dyDescent="0.2">
      <c r="A464" s="67"/>
      <c r="B464" s="86">
        <f t="shared" ref="B464:B474" si="87">IF(D463&gt;0,ROUND(D463*($D$5/1200),2),0)</f>
        <v>0</v>
      </c>
      <c r="C464" s="86">
        <f t="shared" ref="C464:C474" si="88">IF(D463&lt;$B$7,D463,$B$7-B464)</f>
        <v>0</v>
      </c>
      <c r="D464" s="86">
        <f t="shared" ref="D464:D474" si="89">IF(D463-C464&gt;0,D463-C464,0)</f>
        <v>0</v>
      </c>
      <c r="E464" s="67"/>
    </row>
    <row r="465" spans="1:5" x14ac:dyDescent="0.2">
      <c r="A465" s="67"/>
      <c r="B465" s="86">
        <f t="shared" si="87"/>
        <v>0</v>
      </c>
      <c r="C465" s="86">
        <f t="shared" si="88"/>
        <v>0</v>
      </c>
      <c r="D465" s="86">
        <f t="shared" si="89"/>
        <v>0</v>
      </c>
      <c r="E465" s="67"/>
    </row>
    <row r="466" spans="1:5" x14ac:dyDescent="0.2">
      <c r="A466" s="67"/>
      <c r="B466" s="86">
        <f t="shared" si="87"/>
        <v>0</v>
      </c>
      <c r="C466" s="86">
        <f t="shared" si="88"/>
        <v>0</v>
      </c>
      <c r="D466" s="86">
        <f t="shared" si="89"/>
        <v>0</v>
      </c>
      <c r="E466" s="67"/>
    </row>
    <row r="467" spans="1:5" x14ac:dyDescent="0.2">
      <c r="A467" s="67"/>
      <c r="B467" s="86">
        <f t="shared" si="87"/>
        <v>0</v>
      </c>
      <c r="C467" s="86">
        <f t="shared" si="88"/>
        <v>0</v>
      </c>
      <c r="D467" s="86">
        <f t="shared" si="89"/>
        <v>0</v>
      </c>
      <c r="E467" s="67"/>
    </row>
    <row r="468" spans="1:5" x14ac:dyDescent="0.2">
      <c r="A468" s="67"/>
      <c r="B468" s="86">
        <f t="shared" si="87"/>
        <v>0</v>
      </c>
      <c r="C468" s="86">
        <f t="shared" si="88"/>
        <v>0</v>
      </c>
      <c r="D468" s="86">
        <f t="shared" si="89"/>
        <v>0</v>
      </c>
      <c r="E468" s="67"/>
    </row>
    <row r="469" spans="1:5" x14ac:dyDescent="0.2">
      <c r="A469" s="67"/>
      <c r="B469" s="86">
        <f t="shared" si="87"/>
        <v>0</v>
      </c>
      <c r="C469" s="86">
        <f t="shared" si="88"/>
        <v>0</v>
      </c>
      <c r="D469" s="86">
        <f t="shared" si="89"/>
        <v>0</v>
      </c>
      <c r="E469" s="67"/>
    </row>
    <row r="470" spans="1:5" x14ac:dyDescent="0.2">
      <c r="A470" s="67"/>
      <c r="B470" s="86">
        <f t="shared" si="87"/>
        <v>0</v>
      </c>
      <c r="C470" s="86">
        <f t="shared" si="88"/>
        <v>0</v>
      </c>
      <c r="D470" s="86">
        <f t="shared" si="89"/>
        <v>0</v>
      </c>
      <c r="E470" s="67"/>
    </row>
    <row r="471" spans="1:5" x14ac:dyDescent="0.2">
      <c r="A471" s="67"/>
      <c r="B471" s="86">
        <f t="shared" si="87"/>
        <v>0</v>
      </c>
      <c r="C471" s="86">
        <f t="shared" si="88"/>
        <v>0</v>
      </c>
      <c r="D471" s="86">
        <f t="shared" si="89"/>
        <v>0</v>
      </c>
      <c r="E471" s="67"/>
    </row>
    <row r="472" spans="1:5" x14ac:dyDescent="0.2">
      <c r="A472" s="67"/>
      <c r="B472" s="86">
        <f t="shared" si="87"/>
        <v>0</v>
      </c>
      <c r="C472" s="86">
        <f t="shared" si="88"/>
        <v>0</v>
      </c>
      <c r="D472" s="86">
        <f t="shared" si="89"/>
        <v>0</v>
      </c>
      <c r="E472" s="67"/>
    </row>
    <row r="473" spans="1:5" x14ac:dyDescent="0.2">
      <c r="A473" s="67"/>
      <c r="B473" s="86">
        <f t="shared" si="87"/>
        <v>0</v>
      </c>
      <c r="C473" s="86">
        <f t="shared" si="88"/>
        <v>0</v>
      </c>
      <c r="D473" s="86">
        <f t="shared" si="89"/>
        <v>0</v>
      </c>
      <c r="E473" s="67"/>
    </row>
    <row r="474" spans="1:5" x14ac:dyDescent="0.2">
      <c r="A474" s="67"/>
      <c r="B474" s="86">
        <f t="shared" si="87"/>
        <v>0</v>
      </c>
      <c r="C474" s="86">
        <f t="shared" si="88"/>
        <v>0</v>
      </c>
      <c r="D474" s="86">
        <f t="shared" si="89"/>
        <v>0</v>
      </c>
      <c r="E474" s="67"/>
    </row>
    <row r="475" spans="1:5" x14ac:dyDescent="0.2">
      <c r="A475" s="87" t="str">
        <f>"Total "&amp;YEAR($A$10)+30</f>
        <v>Total 2033</v>
      </c>
      <c r="B475" s="88">
        <f>SUM(B463:B474)</f>
        <v>0</v>
      </c>
      <c r="C475" s="88">
        <f>SUM(C463:C474)</f>
        <v>0</v>
      </c>
      <c r="D475" s="89"/>
      <c r="E475" s="67"/>
    </row>
    <row r="476" spans="1:5" x14ac:dyDescent="0.2">
      <c r="A476" s="67"/>
      <c r="B476" s="86"/>
      <c r="C476" s="86"/>
      <c r="D476" s="86"/>
      <c r="E476" s="67"/>
    </row>
  </sheetData>
  <sheetProtection sheet="1" objects="1" scenarios="1"/>
  <phoneticPr fontId="14" type="noConversion"/>
  <pageMargins left="0.93" right="0.7" top="0.75" bottom="0.75" header="0.5" footer="0.5"/>
  <pageSetup scale="49" orientation="portrait" horizontalDpi="4294967292" verticalDpi="4294967292"/>
  <rowBreaks count="4" manualBreakCount="4">
    <brk id="101" max="3" man="1"/>
    <brk id="206" max="3" man="1"/>
    <brk id="311" max="3" man="1"/>
    <brk id="416"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E42"/>
  <sheetViews>
    <sheetView showGridLines="0" workbookViewId="0">
      <selection activeCell="B4" sqref="B4"/>
    </sheetView>
  </sheetViews>
  <sheetFormatPr baseColWidth="10" defaultColWidth="8.83203125" defaultRowHeight="13" x14ac:dyDescent="0.15"/>
  <cols>
    <col min="2" max="2" width="24.83203125" customWidth="1"/>
    <col min="3" max="3" width="12.83203125" customWidth="1"/>
    <col min="4" max="4" width="15.1640625" customWidth="1"/>
  </cols>
  <sheetData>
    <row r="2" spans="2:4" ht="21.75" customHeight="1" x14ac:dyDescent="0.15">
      <c r="B2" s="91" t="s">
        <v>72</v>
      </c>
      <c r="C2" s="92"/>
      <c r="D2" s="93"/>
    </row>
    <row r="3" spans="2:4" x14ac:dyDescent="0.15">
      <c r="B3" s="20"/>
      <c r="C3" s="21"/>
      <c r="D3" s="22"/>
    </row>
    <row r="4" spans="2:4" x14ac:dyDescent="0.15">
      <c r="B4" s="156" t="s">
        <v>10</v>
      </c>
      <c r="C4" s="23"/>
      <c r="D4" s="24"/>
    </row>
    <row r="5" spans="2:4" x14ac:dyDescent="0.15">
      <c r="B5" s="156" t="s">
        <v>11</v>
      </c>
      <c r="C5" s="23"/>
      <c r="D5" s="24"/>
    </row>
    <row r="6" spans="2:4" x14ac:dyDescent="0.15">
      <c r="B6" s="20"/>
      <c r="C6" s="21"/>
      <c r="D6" s="22"/>
    </row>
    <row r="7" spans="2:4" x14ac:dyDescent="0.15">
      <c r="B7" s="25" t="s">
        <v>12</v>
      </c>
      <c r="C7" s="94">
        <f ca="1">TODAY()</f>
        <v>45532</v>
      </c>
      <c r="D7" s="24"/>
    </row>
    <row r="8" spans="2:4" x14ac:dyDescent="0.15">
      <c r="B8" s="25" t="s">
        <v>13</v>
      </c>
      <c r="C8" s="26"/>
      <c r="D8" s="27"/>
    </row>
    <row r="9" spans="2:4" x14ac:dyDescent="0.15">
      <c r="B9" s="29"/>
      <c r="C9" s="95"/>
      <c r="D9" s="96"/>
    </row>
    <row r="10" spans="2:4" x14ac:dyDescent="0.15">
      <c r="B10" s="32" t="s">
        <v>14</v>
      </c>
      <c r="C10" s="33"/>
      <c r="D10" s="34"/>
    </row>
    <row r="11" spans="2:4" x14ac:dyDescent="0.15">
      <c r="B11" s="37" t="s">
        <v>16</v>
      </c>
      <c r="C11" s="38"/>
      <c r="D11" s="154">
        <v>0</v>
      </c>
    </row>
    <row r="12" spans="2:4" x14ac:dyDescent="0.15">
      <c r="B12" s="40" t="s">
        <v>17</v>
      </c>
      <c r="C12" s="41"/>
      <c r="D12" s="154">
        <v>0</v>
      </c>
    </row>
    <row r="13" spans="2:4" x14ac:dyDescent="0.15">
      <c r="B13" s="43" t="s">
        <v>18</v>
      </c>
      <c r="C13" s="44"/>
      <c r="D13" s="45">
        <f>SUM(D11:D12)</f>
        <v>0</v>
      </c>
    </row>
    <row r="14" spans="2:4" x14ac:dyDescent="0.15">
      <c r="B14" s="47"/>
      <c r="C14" s="48"/>
      <c r="D14" s="49"/>
    </row>
    <row r="15" spans="2:4" x14ac:dyDescent="0.15">
      <c r="B15" s="51" t="s">
        <v>19</v>
      </c>
      <c r="C15" s="52"/>
      <c r="D15" s="155">
        <v>0</v>
      </c>
    </row>
    <row r="16" spans="2:4" x14ac:dyDescent="0.15">
      <c r="B16" s="47"/>
      <c r="C16" s="48"/>
      <c r="D16" s="49"/>
    </row>
    <row r="17" spans="2:4" x14ac:dyDescent="0.15">
      <c r="B17" s="43" t="s">
        <v>20</v>
      </c>
      <c r="C17" s="44"/>
      <c r="D17" s="45">
        <f>D13-D15</f>
        <v>0</v>
      </c>
    </row>
    <row r="18" spans="2:4" x14ac:dyDescent="0.15">
      <c r="B18" s="47"/>
      <c r="C18" s="48"/>
      <c r="D18" s="49"/>
    </row>
    <row r="19" spans="2:4" x14ac:dyDescent="0.15">
      <c r="B19" s="55" t="s">
        <v>21</v>
      </c>
      <c r="C19" s="56"/>
      <c r="D19" s="57"/>
    </row>
    <row r="20" spans="2:4" x14ac:dyDescent="0.15">
      <c r="B20" s="40" t="s">
        <v>24</v>
      </c>
      <c r="C20" s="41"/>
      <c r="D20" s="154">
        <v>0</v>
      </c>
    </row>
    <row r="21" spans="2:4" x14ac:dyDescent="0.15">
      <c r="B21" s="40" t="s">
        <v>73</v>
      </c>
      <c r="C21" s="41"/>
      <c r="D21" s="154">
        <v>0</v>
      </c>
    </row>
    <row r="22" spans="2:4" x14ac:dyDescent="0.15">
      <c r="B22" s="40" t="s">
        <v>31</v>
      </c>
      <c r="C22" s="41"/>
      <c r="D22" s="154">
        <v>0</v>
      </c>
    </row>
    <row r="23" spans="2:4" x14ac:dyDescent="0.15">
      <c r="B23" s="40" t="s">
        <v>74</v>
      </c>
      <c r="C23" s="41"/>
      <c r="D23" s="154">
        <v>0</v>
      </c>
    </row>
    <row r="24" spans="2:4" x14ac:dyDescent="0.15">
      <c r="B24" s="40" t="s">
        <v>40</v>
      </c>
      <c r="C24" s="41"/>
      <c r="D24" s="154">
        <v>0</v>
      </c>
    </row>
    <row r="25" spans="2:4" x14ac:dyDescent="0.15">
      <c r="B25" s="40" t="s">
        <v>75</v>
      </c>
      <c r="C25" s="41"/>
      <c r="D25" s="154">
        <v>0</v>
      </c>
    </row>
    <row r="26" spans="2:4" x14ac:dyDescent="0.15">
      <c r="B26" s="43" t="s">
        <v>46</v>
      </c>
      <c r="C26" s="44"/>
      <c r="D26" s="45">
        <f>SUM(D20:D22)+SUM(D23:D23)+SUM(D24:D25)</f>
        <v>0</v>
      </c>
    </row>
    <row r="27" spans="2:4" x14ac:dyDescent="0.15">
      <c r="B27" s="47"/>
      <c r="C27" s="48"/>
      <c r="D27" s="49"/>
    </row>
    <row r="28" spans="2:4" x14ac:dyDescent="0.15">
      <c r="B28" s="43" t="s">
        <v>47</v>
      </c>
      <c r="C28" s="44"/>
      <c r="D28" s="45">
        <f>D17-D26</f>
        <v>0</v>
      </c>
    </row>
    <row r="29" spans="2:4" x14ac:dyDescent="0.15">
      <c r="B29" s="97"/>
      <c r="D29" s="22"/>
    </row>
    <row r="30" spans="2:4" x14ac:dyDescent="0.15">
      <c r="B30" s="97" t="s">
        <v>76</v>
      </c>
      <c r="D30" s="154">
        <v>0</v>
      </c>
    </row>
    <row r="31" spans="2:4" x14ac:dyDescent="0.15">
      <c r="B31" s="97" t="s">
        <v>77</v>
      </c>
      <c r="D31" s="154">
        <v>0</v>
      </c>
    </row>
    <row r="32" spans="2:4" x14ac:dyDescent="0.15">
      <c r="B32" s="97" t="s">
        <v>78</v>
      </c>
      <c r="D32" s="154">
        <v>0</v>
      </c>
    </row>
    <row r="33" spans="1:5" x14ac:dyDescent="0.15">
      <c r="B33" s="97" t="s">
        <v>79</v>
      </c>
      <c r="D33" s="154">
        <v>0</v>
      </c>
    </row>
    <row r="34" spans="1:5" x14ac:dyDescent="0.15">
      <c r="B34" s="97" t="s">
        <v>80</v>
      </c>
      <c r="D34" s="154">
        <v>0</v>
      </c>
    </row>
    <row r="35" spans="1:5" x14ac:dyDescent="0.15">
      <c r="B35" s="97"/>
      <c r="D35" s="22"/>
    </row>
    <row r="36" spans="1:5" x14ac:dyDescent="0.15">
      <c r="B36" s="98" t="s">
        <v>81</v>
      </c>
      <c r="C36" s="95"/>
      <c r="D36" s="45">
        <f>D28-D30-D31-D32+D33+D34</f>
        <v>0</v>
      </c>
    </row>
    <row r="37" spans="1:5" x14ac:dyDescent="0.15">
      <c r="B37" s="97"/>
      <c r="D37" s="22"/>
    </row>
    <row r="38" spans="1:5" x14ac:dyDescent="0.15">
      <c r="B38" s="97" t="s">
        <v>82</v>
      </c>
      <c r="D38" s="154">
        <v>0</v>
      </c>
    </row>
    <row r="39" spans="1:5" x14ac:dyDescent="0.15">
      <c r="B39" s="97"/>
      <c r="D39" s="22"/>
    </row>
    <row r="40" spans="1:5" x14ac:dyDescent="0.15">
      <c r="B40" s="98" t="s">
        <v>83</v>
      </c>
      <c r="C40" s="95"/>
      <c r="D40" s="45">
        <f>D36-D38</f>
        <v>0</v>
      </c>
    </row>
    <row r="42" spans="1:5" x14ac:dyDescent="0.15">
      <c r="A42" s="13" t="s">
        <v>149</v>
      </c>
      <c r="B42" s="65"/>
      <c r="C42" s="66"/>
      <c r="D42" s="65"/>
      <c r="E42" s="65"/>
    </row>
  </sheetData>
  <sheetProtection sheet="1" objects="1" scenarios="1"/>
  <phoneticPr fontId="0" type="noConversion"/>
  <hyperlinks>
    <hyperlink ref="A42" r:id="rId1" display="© 1982-2003, RealData, Inc. " xr:uid="{00000000-0004-0000-0500-000000000000}"/>
    <hyperlink ref="A42:E42" r:id="rId2" display="© 1982-2003, RealData, Inc. " xr:uid="{00000000-0004-0000-0500-000001000000}"/>
  </hyperlinks>
  <pageMargins left="0.7" right="0.7" top="0.75" bottom="0.75" header="0.5" footer="0.5"/>
  <pageSetup orientation="portrait"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E21"/>
  <sheetViews>
    <sheetView showGridLines="0" workbookViewId="0">
      <selection activeCell="B4" sqref="B4"/>
    </sheetView>
  </sheetViews>
  <sheetFormatPr baseColWidth="10" defaultColWidth="8.83203125" defaultRowHeight="13" x14ac:dyDescent="0.15"/>
  <cols>
    <col min="2" max="2" width="25.83203125" customWidth="1"/>
    <col min="3" max="3" width="12.1640625" customWidth="1"/>
    <col min="4" max="4" width="15.1640625" customWidth="1"/>
  </cols>
  <sheetData>
    <row r="2" spans="2:4" ht="21.75" customHeight="1" x14ac:dyDescent="0.15">
      <c r="B2" s="91" t="s">
        <v>84</v>
      </c>
      <c r="C2" s="92"/>
      <c r="D2" s="93"/>
    </row>
    <row r="3" spans="2:4" x14ac:dyDescent="0.15">
      <c r="B3" s="20"/>
      <c r="C3" s="21"/>
      <c r="D3" s="22"/>
    </row>
    <row r="4" spans="2:4" x14ac:dyDescent="0.15">
      <c r="B4" s="156" t="s">
        <v>10</v>
      </c>
      <c r="C4" s="23"/>
      <c r="D4" s="24"/>
    </row>
    <row r="5" spans="2:4" x14ac:dyDescent="0.15">
      <c r="B5" s="156" t="s">
        <v>11</v>
      </c>
      <c r="C5" s="23"/>
      <c r="D5" s="24"/>
    </row>
    <row r="6" spans="2:4" x14ac:dyDescent="0.15">
      <c r="B6" s="20"/>
      <c r="C6" s="21"/>
      <c r="D6" s="22"/>
    </row>
    <row r="7" spans="2:4" x14ac:dyDescent="0.15">
      <c r="B7" s="25" t="s">
        <v>12</v>
      </c>
      <c r="C7" s="94">
        <f ca="1">TODAY()</f>
        <v>45532</v>
      </c>
      <c r="D7" s="22"/>
    </row>
    <row r="8" spans="2:4" x14ac:dyDescent="0.15">
      <c r="B8" s="25" t="s">
        <v>13</v>
      </c>
      <c r="C8" s="26"/>
      <c r="D8" s="27"/>
    </row>
    <row r="9" spans="2:4" x14ac:dyDescent="0.15">
      <c r="B9" s="29"/>
      <c r="C9" s="95"/>
      <c r="D9" s="96"/>
    </row>
    <row r="10" spans="2:4" x14ac:dyDescent="0.15">
      <c r="B10" s="32" t="s">
        <v>85</v>
      </c>
      <c r="C10" s="56"/>
      <c r="D10" s="154">
        <v>0</v>
      </c>
    </row>
    <row r="11" spans="2:4" x14ac:dyDescent="0.15">
      <c r="B11" s="40" t="s">
        <v>86</v>
      </c>
      <c r="C11" s="41"/>
      <c r="D11" s="154">
        <v>0</v>
      </c>
    </row>
    <row r="12" spans="2:4" x14ac:dyDescent="0.15">
      <c r="B12" s="40" t="s">
        <v>87</v>
      </c>
      <c r="C12" s="41"/>
      <c r="D12" s="154">
        <v>0</v>
      </c>
    </row>
    <row r="13" spans="2:4" x14ac:dyDescent="0.15">
      <c r="B13" s="40" t="s">
        <v>88</v>
      </c>
      <c r="C13" s="41"/>
      <c r="D13" s="154">
        <v>0</v>
      </c>
    </row>
    <row r="14" spans="2:4" x14ac:dyDescent="0.15">
      <c r="B14" s="20" t="s">
        <v>89</v>
      </c>
      <c r="C14" s="41"/>
      <c r="D14" s="57">
        <f>D10-D11-D12-D13</f>
        <v>0</v>
      </c>
    </row>
    <row r="15" spans="2:4" x14ac:dyDescent="0.15">
      <c r="B15" s="40" t="s">
        <v>90</v>
      </c>
      <c r="C15" s="41"/>
      <c r="D15" s="154">
        <v>0</v>
      </c>
    </row>
    <row r="16" spans="2:4" x14ac:dyDescent="0.15">
      <c r="B16" s="43" t="s">
        <v>91</v>
      </c>
      <c r="C16" s="44"/>
      <c r="D16" s="45">
        <f>D14-D15</f>
        <v>0</v>
      </c>
    </row>
    <row r="18" spans="2:5" x14ac:dyDescent="0.15">
      <c r="B18" s="13" t="s">
        <v>151</v>
      </c>
      <c r="C18" s="13"/>
      <c r="D18" s="13"/>
    </row>
    <row r="21" spans="2:5" x14ac:dyDescent="0.15">
      <c r="E21" s="99"/>
    </row>
  </sheetData>
  <sheetProtection sheet="1" objects="1" scenarios="1"/>
  <phoneticPr fontId="0" type="noConversion"/>
  <hyperlinks>
    <hyperlink ref="B18:D18" r:id="rId1" display="Copyright 2003 RealData® Inc., Southport, CT  All Rights Reserved" xr:uid="{00000000-0004-0000-0600-000000000000}"/>
  </hyperlinks>
  <pageMargins left="0.7" right="0.7" top="0.75" bottom="0.75" header="0.5" footer="0.5"/>
  <pageSetup orientation="portrait"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N17"/>
  <sheetViews>
    <sheetView showGridLines="0" workbookViewId="0">
      <selection activeCell="C4" sqref="C4"/>
    </sheetView>
  </sheetViews>
  <sheetFormatPr baseColWidth="10" defaultColWidth="8.83203125" defaultRowHeight="13" x14ac:dyDescent="0.15"/>
  <cols>
    <col min="2" max="14" width="8.83203125" customWidth="1"/>
  </cols>
  <sheetData>
    <row r="2" spans="1:14" x14ac:dyDescent="0.15">
      <c r="A2" s="105" t="s">
        <v>147</v>
      </c>
      <c r="B2" s="104"/>
      <c r="C2" s="104"/>
      <c r="D2" s="104"/>
      <c r="E2" s="104"/>
      <c r="F2" s="104"/>
      <c r="G2" s="104"/>
      <c r="H2" s="104"/>
      <c r="I2" s="104"/>
      <c r="J2" s="104"/>
      <c r="K2" s="104"/>
      <c r="L2" s="104"/>
      <c r="M2" s="104"/>
      <c r="N2" s="104"/>
    </row>
    <row r="4" spans="1:14" x14ac:dyDescent="0.15">
      <c r="B4" s="100" t="s">
        <v>92</v>
      </c>
      <c r="C4" s="6">
        <v>0</v>
      </c>
    </row>
    <row r="6" spans="1:14" x14ac:dyDescent="0.15">
      <c r="B6" s="2" t="s">
        <v>93</v>
      </c>
      <c r="H6" s="2" t="s">
        <v>94</v>
      </c>
    </row>
    <row r="7" spans="1:14" x14ac:dyDescent="0.15">
      <c r="B7" s="2" t="s">
        <v>95</v>
      </c>
      <c r="C7" s="101">
        <v>1</v>
      </c>
      <c r="D7" s="101">
        <v>2</v>
      </c>
      <c r="E7" s="101">
        <v>3</v>
      </c>
      <c r="F7" s="101">
        <v>4</v>
      </c>
      <c r="G7" s="101">
        <v>5</v>
      </c>
      <c r="H7" s="101">
        <v>6</v>
      </c>
      <c r="I7" s="101">
        <v>7</v>
      </c>
      <c r="J7" s="101">
        <v>8</v>
      </c>
      <c r="K7" s="101">
        <v>9</v>
      </c>
      <c r="L7" s="101">
        <v>10</v>
      </c>
      <c r="M7" s="101">
        <v>11</v>
      </c>
      <c r="N7" s="101">
        <v>12</v>
      </c>
    </row>
    <row r="8" spans="1:14" x14ac:dyDescent="0.15">
      <c r="A8" t="s">
        <v>96</v>
      </c>
      <c r="B8" s="102">
        <v>0</v>
      </c>
      <c r="C8" s="142">
        <f t="shared" ref="C8:N8" si="0">B8</f>
        <v>0</v>
      </c>
      <c r="D8" s="142">
        <f t="shared" si="0"/>
        <v>0</v>
      </c>
      <c r="E8" s="142">
        <f t="shared" si="0"/>
        <v>0</v>
      </c>
      <c r="F8" s="142">
        <f t="shared" si="0"/>
        <v>0</v>
      </c>
      <c r="G8" s="142">
        <f t="shared" si="0"/>
        <v>0</v>
      </c>
      <c r="H8" s="142">
        <f t="shared" si="0"/>
        <v>0</v>
      </c>
      <c r="I8" s="142">
        <f t="shared" si="0"/>
        <v>0</v>
      </c>
      <c r="J8" s="142">
        <f t="shared" si="0"/>
        <v>0</v>
      </c>
      <c r="K8" s="142">
        <f t="shared" si="0"/>
        <v>0</v>
      </c>
      <c r="L8" s="142">
        <f t="shared" si="0"/>
        <v>0</v>
      </c>
      <c r="M8" s="142">
        <f t="shared" si="0"/>
        <v>0</v>
      </c>
      <c r="N8" s="142">
        <f t="shared" si="0"/>
        <v>0</v>
      </c>
    </row>
    <row r="9" spans="1:14" x14ac:dyDescent="0.15">
      <c r="A9" t="s">
        <v>97</v>
      </c>
      <c r="B9" s="102">
        <v>0</v>
      </c>
      <c r="C9" s="142">
        <f t="shared" ref="C9:N9" si="1">B9</f>
        <v>0</v>
      </c>
      <c r="D9" s="142">
        <f t="shared" si="1"/>
        <v>0</v>
      </c>
      <c r="E9" s="142">
        <f t="shared" si="1"/>
        <v>0</v>
      </c>
      <c r="F9" s="142">
        <f t="shared" si="1"/>
        <v>0</v>
      </c>
      <c r="G9" s="142">
        <f t="shared" si="1"/>
        <v>0</v>
      </c>
      <c r="H9" s="142">
        <f t="shared" si="1"/>
        <v>0</v>
      </c>
      <c r="I9" s="142">
        <f t="shared" si="1"/>
        <v>0</v>
      </c>
      <c r="J9" s="142">
        <f t="shared" si="1"/>
        <v>0</v>
      </c>
      <c r="K9" s="142">
        <f t="shared" si="1"/>
        <v>0</v>
      </c>
      <c r="L9" s="142">
        <f t="shared" si="1"/>
        <v>0</v>
      </c>
      <c r="M9" s="142">
        <f t="shared" si="1"/>
        <v>0</v>
      </c>
      <c r="N9" s="142">
        <f t="shared" si="1"/>
        <v>0</v>
      </c>
    </row>
    <row r="10" spans="1:14" x14ac:dyDescent="0.15">
      <c r="A10" t="s">
        <v>98</v>
      </c>
      <c r="B10" s="102">
        <v>0</v>
      </c>
      <c r="C10" s="142">
        <f t="shared" ref="C10:N10" si="2">B10</f>
        <v>0</v>
      </c>
      <c r="D10" s="142">
        <f t="shared" si="2"/>
        <v>0</v>
      </c>
      <c r="E10" s="142">
        <f t="shared" si="2"/>
        <v>0</v>
      </c>
      <c r="F10" s="142">
        <f t="shared" si="2"/>
        <v>0</v>
      </c>
      <c r="G10" s="142">
        <f t="shared" si="2"/>
        <v>0</v>
      </c>
      <c r="H10" s="142">
        <f t="shared" si="2"/>
        <v>0</v>
      </c>
      <c r="I10" s="142">
        <f t="shared" si="2"/>
        <v>0</v>
      </c>
      <c r="J10" s="142">
        <f t="shared" si="2"/>
        <v>0</v>
      </c>
      <c r="K10" s="142">
        <f t="shared" si="2"/>
        <v>0</v>
      </c>
      <c r="L10" s="142">
        <f t="shared" si="2"/>
        <v>0</v>
      </c>
      <c r="M10" s="142">
        <f t="shared" si="2"/>
        <v>0</v>
      </c>
      <c r="N10" s="142">
        <f t="shared" si="2"/>
        <v>0</v>
      </c>
    </row>
    <row r="11" spans="1:14" x14ac:dyDescent="0.15">
      <c r="A11" t="s">
        <v>99</v>
      </c>
      <c r="B11" s="102">
        <v>0</v>
      </c>
      <c r="C11" s="142">
        <f t="shared" ref="C11:N11" si="3">B11</f>
        <v>0</v>
      </c>
      <c r="D11" s="142">
        <f t="shared" si="3"/>
        <v>0</v>
      </c>
      <c r="E11" s="142">
        <f t="shared" si="3"/>
        <v>0</v>
      </c>
      <c r="F11" s="142">
        <f t="shared" si="3"/>
        <v>0</v>
      </c>
      <c r="G11" s="142">
        <f t="shared" si="3"/>
        <v>0</v>
      </c>
      <c r="H11" s="142">
        <f t="shared" si="3"/>
        <v>0</v>
      </c>
      <c r="I11" s="142">
        <f t="shared" si="3"/>
        <v>0</v>
      </c>
      <c r="J11" s="142">
        <f t="shared" si="3"/>
        <v>0</v>
      </c>
      <c r="K11" s="142">
        <f t="shared" si="3"/>
        <v>0</v>
      </c>
      <c r="L11" s="142">
        <f t="shared" si="3"/>
        <v>0</v>
      </c>
      <c r="M11" s="142">
        <f t="shared" si="3"/>
        <v>0</v>
      </c>
      <c r="N11" s="142">
        <f t="shared" si="3"/>
        <v>0</v>
      </c>
    </row>
    <row r="12" spans="1:14" x14ac:dyDescent="0.15">
      <c r="A12" t="s">
        <v>100</v>
      </c>
      <c r="B12" s="102">
        <v>0</v>
      </c>
      <c r="C12" s="142">
        <f t="shared" ref="C12:N12" si="4">B12</f>
        <v>0</v>
      </c>
      <c r="D12" s="142">
        <f t="shared" si="4"/>
        <v>0</v>
      </c>
      <c r="E12" s="142">
        <f t="shared" si="4"/>
        <v>0</v>
      </c>
      <c r="F12" s="142">
        <f t="shared" si="4"/>
        <v>0</v>
      </c>
      <c r="G12" s="142">
        <f t="shared" si="4"/>
        <v>0</v>
      </c>
      <c r="H12" s="142">
        <f t="shared" si="4"/>
        <v>0</v>
      </c>
      <c r="I12" s="142">
        <f t="shared" si="4"/>
        <v>0</v>
      </c>
      <c r="J12" s="142">
        <f t="shared" si="4"/>
        <v>0</v>
      </c>
      <c r="K12" s="142">
        <f t="shared" si="4"/>
        <v>0</v>
      </c>
      <c r="L12" s="142">
        <f t="shared" si="4"/>
        <v>0</v>
      </c>
      <c r="M12" s="142">
        <f t="shared" si="4"/>
        <v>0</v>
      </c>
      <c r="N12" s="142">
        <f t="shared" si="4"/>
        <v>0</v>
      </c>
    </row>
    <row r="14" spans="1:14" x14ac:dyDescent="0.15">
      <c r="A14" t="s">
        <v>101</v>
      </c>
      <c r="E14" s="103">
        <f>C8+NPV(C4/12,D8:N8,C9:N9,C10:N10,C11:N11,C12:N12)</f>
        <v>0</v>
      </c>
    </row>
    <row r="17" spans="1:14" x14ac:dyDescent="0.15">
      <c r="A17" s="171" t="s">
        <v>149</v>
      </c>
      <c r="B17" s="172"/>
      <c r="C17" s="172"/>
      <c r="D17" s="172"/>
      <c r="E17" s="172"/>
      <c r="F17" s="172"/>
      <c r="G17" s="172"/>
      <c r="H17" s="172"/>
      <c r="I17" s="172"/>
      <c r="J17" s="172"/>
      <c r="K17" s="172"/>
      <c r="L17" s="172"/>
      <c r="M17" s="172"/>
      <c r="N17" s="172"/>
    </row>
  </sheetData>
  <sheetProtection sheet="1" objects="1" scenarios="1"/>
  <mergeCells count="1">
    <mergeCell ref="A17:N17"/>
  </mergeCells>
  <phoneticPr fontId="0" type="noConversion"/>
  <hyperlinks>
    <hyperlink ref="A17" r:id="rId1" display="© 1982-2003, RealData, Inc. " xr:uid="{00000000-0004-0000-0700-000000000000}"/>
  </hyperlinks>
  <pageMargins left="0.7" right="0.7" top="0.75" bottom="0.75" header="0.5" footer="0.5"/>
  <pageSetup orientation="portrait" horizontalDpi="0" verticalDpi="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4:E14"/>
  <sheetViews>
    <sheetView showGridLines="0" workbookViewId="0">
      <selection activeCell="A7" sqref="A7"/>
    </sheetView>
  </sheetViews>
  <sheetFormatPr baseColWidth="10" defaultColWidth="8.83203125" defaultRowHeight="13" x14ac:dyDescent="0.15"/>
  <cols>
    <col min="1" max="3" width="10.6640625" customWidth="1"/>
    <col min="4" max="4" width="14" customWidth="1"/>
    <col min="5" max="5" width="23.33203125" customWidth="1"/>
  </cols>
  <sheetData>
    <row r="4" spans="1:5" x14ac:dyDescent="0.15">
      <c r="A4" s="105" t="s">
        <v>102</v>
      </c>
      <c r="B4" s="105"/>
      <c r="C4" s="105"/>
      <c r="D4" s="105"/>
      <c r="E4" s="105"/>
    </row>
    <row r="6" spans="1:5" x14ac:dyDescent="0.15">
      <c r="A6" s="106" t="s">
        <v>2</v>
      </c>
      <c r="B6" s="107" t="s">
        <v>103</v>
      </c>
      <c r="C6" s="106" t="s">
        <v>104</v>
      </c>
      <c r="D6" s="106" t="s">
        <v>0</v>
      </c>
    </row>
    <row r="7" spans="1:5" x14ac:dyDescent="0.15">
      <c r="A7" s="7">
        <v>0</v>
      </c>
      <c r="B7" s="6">
        <v>0</v>
      </c>
      <c r="C7" s="108" t="str">
        <f>IF(ISERROR(PMT(B7,A7,-D7)),"n/a",PMT(B7,A7,-D7))</f>
        <v>n/a</v>
      </c>
      <c r="D7" s="109">
        <v>0</v>
      </c>
      <c r="E7" t="s">
        <v>105</v>
      </c>
    </row>
    <row r="8" spans="1:5" x14ac:dyDescent="0.15">
      <c r="A8" s="7">
        <v>0</v>
      </c>
      <c r="B8" s="6">
        <v>0</v>
      </c>
      <c r="C8" s="109">
        <v>0</v>
      </c>
      <c r="D8" s="108">
        <f>IF(ISERROR(PV(B8,A8,-C8)),"n/a",PV(B8,A8,-C8))</f>
        <v>0</v>
      </c>
      <c r="E8" t="s">
        <v>6</v>
      </c>
    </row>
    <row r="9" spans="1:5" x14ac:dyDescent="0.15">
      <c r="A9" s="110" t="str">
        <f>IF(ISERROR(NPER(B9,C9,-D9)),"n/a",NPER(B9,C9,-D9))</f>
        <v>n/a</v>
      </c>
      <c r="B9" s="6">
        <v>0</v>
      </c>
      <c r="C9" s="109">
        <v>0</v>
      </c>
      <c r="D9" s="109">
        <v>0</v>
      </c>
      <c r="E9" t="s">
        <v>8</v>
      </c>
    </row>
    <row r="10" spans="1:5" x14ac:dyDescent="0.15">
      <c r="A10" s="111">
        <v>0</v>
      </c>
      <c r="B10" s="112" t="str">
        <f>IF(ISERROR(RATE(A10,C10,-D10)),"n/a",RATE(A10,C10,-D10))</f>
        <v>n/a</v>
      </c>
      <c r="C10" s="109">
        <v>0</v>
      </c>
      <c r="D10" s="109">
        <v>0</v>
      </c>
      <c r="E10" t="s">
        <v>7</v>
      </c>
    </row>
    <row r="12" spans="1:5" x14ac:dyDescent="0.15">
      <c r="A12" s="13" t="s">
        <v>149</v>
      </c>
      <c r="B12" s="65"/>
      <c r="C12" s="66"/>
      <c r="D12" s="65"/>
      <c r="E12" s="65"/>
    </row>
    <row r="14" spans="1:5" x14ac:dyDescent="0.15">
      <c r="A14" s="15"/>
    </row>
  </sheetData>
  <sheetProtection sheet="1" objects="1" scenarios="1"/>
  <phoneticPr fontId="0" type="noConversion"/>
  <hyperlinks>
    <hyperlink ref="A12" r:id="rId1" display="© 1982-2003, RealData, Inc. " xr:uid="{00000000-0004-0000-0800-000000000000}"/>
    <hyperlink ref="A12:E12" r:id="rId2" display="© 1982-2003, RealData, Inc. " xr:uid="{00000000-0004-0000-0800-000001000000}"/>
  </hyperlinks>
  <pageMargins left="0.7" right="0.7" top="0.75" bottom="0.75" header="0.5" footer="0.5"/>
  <pageSetup orientation="portrait"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Welcome</vt:lpstr>
      <vt:lpstr>Compound Interest</vt:lpstr>
      <vt:lpstr>Annual Property Operating Data</vt:lpstr>
      <vt:lpstr>Discounted Cash Flow</vt:lpstr>
      <vt:lpstr>Amortization Table</vt:lpstr>
      <vt:lpstr>Cash Flow</vt:lpstr>
      <vt:lpstr>Sale Proceeds</vt:lpstr>
      <vt:lpstr>Value of a Lease</vt:lpstr>
      <vt:lpstr>4 Annuity Functions</vt:lpstr>
      <vt:lpstr>Net Present Value</vt:lpstr>
      <vt:lpstr>Taxable Income</vt:lpstr>
      <vt:lpstr>Adjusted Basis</vt:lpstr>
      <vt:lpstr>Internal Rate of Return</vt:lpstr>
      <vt:lpstr>MIRR</vt:lpstr>
      <vt:lpstr>'Amortization Table'!Print_Area</vt:lpstr>
    </vt:vector>
  </TitlesOfParts>
  <Company>Plymouth Design Group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RealData</dc:creator>
  <cp:lastModifiedBy>Frank Gallinelli</cp:lastModifiedBy>
  <dcterms:created xsi:type="dcterms:W3CDTF">2008-07-22T17:28:50Z</dcterms:created>
  <dcterms:modified xsi:type="dcterms:W3CDTF">2024-08-28T19:58:29Z</dcterms:modified>
</cp:coreProperties>
</file>